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uario\OneDrive\Escritorio\DPS 79\112. E-2024-0007-406009\RESPUESTA\"/>
    </mc:Choice>
  </mc:AlternateContent>
  <xr:revisionPtr revIDLastSave="0" documentId="8_{6BCF81D6-6DB6-43FE-AAE1-C469C48E605F}" xr6:coauthVersionLast="47" xr6:coauthVersionMax="47" xr10:uidLastSave="{00000000-0000-0000-0000-000000000000}"/>
  <bookViews>
    <workbookView xWindow="-110" yWindow="-110" windowWidth="19420" windowHeight="10420" firstSheet="1" activeTab="1" xr2:uid="{C68D78B1-EABD-47FF-8E7A-F1ADF9A689B3}"/>
  </bookViews>
  <sheets>
    <sheet name="VIG_23" sheetId="1" r:id="rId1"/>
    <sheet name="Resumen Ejecución a 15-Nov-2024" sheetId="2" r:id="rId2"/>
  </sheets>
  <externalReferences>
    <externalReference r:id="rId3"/>
  </externalReferences>
  <definedNames>
    <definedName name="_xlnm._FilterDatabase" localSheetId="1" hidden="1">'Resumen Ejecución a 15-Nov-2024'!$B$7:$N$7</definedName>
    <definedName name="_xlnm._FilterDatabase" localSheetId="0" hidden="1">VIG_23!$A$6:$Z$245</definedName>
    <definedName name="_xlnm.Print_Area" localSheetId="1">'Resumen Ejecución a 15-Nov-2024'!$A$1:$O$43</definedName>
    <definedName name="_xlnm.Print_Area" localSheetId="0">VIG_23!$C$1:$Z$250</definedName>
    <definedName name="_xlnm.Print_Titles" localSheetId="0">VIG_23!$5:$6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42" i="1" l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M39" i="2"/>
  <c r="N39" i="2" s="1"/>
  <c r="K39" i="2"/>
  <c r="K38" i="2" s="1"/>
  <c r="J39" i="2"/>
  <c r="I39" i="2"/>
  <c r="H39" i="2"/>
  <c r="G39" i="2"/>
  <c r="G38" i="2" s="1"/>
  <c r="M38" i="2"/>
  <c r="N38" i="2" s="1"/>
  <c r="J38" i="2"/>
  <c r="I38" i="2"/>
  <c r="H38" i="2"/>
  <c r="M36" i="2"/>
  <c r="N36" i="2" s="1"/>
  <c r="K36" i="2"/>
  <c r="L36" i="2" s="1"/>
  <c r="J36" i="2"/>
  <c r="I36" i="2"/>
  <c r="H36" i="2"/>
  <c r="G36" i="2"/>
  <c r="M35" i="2"/>
  <c r="N35" i="2" s="1"/>
  <c r="K35" i="2"/>
  <c r="L35" i="2" s="1"/>
  <c r="J35" i="2"/>
  <c r="I35" i="2"/>
  <c r="H35" i="2"/>
  <c r="G35" i="2"/>
  <c r="M34" i="2"/>
  <c r="N34" i="2" s="1"/>
  <c r="K34" i="2"/>
  <c r="L34" i="2" s="1"/>
  <c r="J34" i="2"/>
  <c r="I34" i="2"/>
  <c r="H34" i="2"/>
  <c r="G34" i="2"/>
  <c r="M33" i="2"/>
  <c r="N33" i="2" s="1"/>
  <c r="K33" i="2"/>
  <c r="L33" i="2" s="1"/>
  <c r="J33" i="2"/>
  <c r="I33" i="2"/>
  <c r="H33" i="2"/>
  <c r="G33" i="2"/>
  <c r="M32" i="2"/>
  <c r="N32" i="2" s="1"/>
  <c r="K32" i="2"/>
  <c r="L32" i="2" s="1"/>
  <c r="J32" i="2"/>
  <c r="I32" i="2"/>
  <c r="H32" i="2"/>
  <c r="G32" i="2"/>
  <c r="M31" i="2"/>
  <c r="N31" i="2" s="1"/>
  <c r="K31" i="2"/>
  <c r="L31" i="2" s="1"/>
  <c r="J31" i="2"/>
  <c r="I31" i="2"/>
  <c r="H31" i="2"/>
  <c r="G31" i="2"/>
  <c r="M30" i="2"/>
  <c r="N30" i="2" s="1"/>
  <c r="K30" i="2"/>
  <c r="L30" i="2" s="1"/>
  <c r="J30" i="2"/>
  <c r="I30" i="2"/>
  <c r="H30" i="2"/>
  <c r="G30" i="2"/>
  <c r="M29" i="2"/>
  <c r="N29" i="2" s="1"/>
  <c r="K29" i="2"/>
  <c r="L29" i="2" s="1"/>
  <c r="J29" i="2"/>
  <c r="I29" i="2"/>
  <c r="H29" i="2"/>
  <c r="G29" i="2"/>
  <c r="M28" i="2"/>
  <c r="N28" i="2" s="1"/>
  <c r="K28" i="2"/>
  <c r="L28" i="2" s="1"/>
  <c r="J28" i="2"/>
  <c r="I28" i="2"/>
  <c r="H28" i="2"/>
  <c r="G28" i="2"/>
  <c r="M27" i="2"/>
  <c r="N27" i="2" s="1"/>
  <c r="K27" i="2"/>
  <c r="L27" i="2" s="1"/>
  <c r="J27" i="2"/>
  <c r="I27" i="2"/>
  <c r="H27" i="2"/>
  <c r="G27" i="2"/>
  <c r="M26" i="2"/>
  <c r="N26" i="2" s="1"/>
  <c r="K26" i="2"/>
  <c r="L26" i="2" s="1"/>
  <c r="J26" i="2"/>
  <c r="I26" i="2"/>
  <c r="H26" i="2"/>
  <c r="G26" i="2"/>
  <c r="M25" i="2"/>
  <c r="N25" i="2" s="1"/>
  <c r="K25" i="2"/>
  <c r="L25" i="2" s="1"/>
  <c r="J25" i="2"/>
  <c r="I25" i="2"/>
  <c r="H25" i="2"/>
  <c r="G25" i="2"/>
  <c r="M24" i="2"/>
  <c r="N24" i="2" s="1"/>
  <c r="K24" i="2"/>
  <c r="L24" i="2" s="1"/>
  <c r="J24" i="2"/>
  <c r="I24" i="2"/>
  <c r="H24" i="2"/>
  <c r="G24" i="2"/>
  <c r="M23" i="2"/>
  <c r="N23" i="2" s="1"/>
  <c r="K23" i="2"/>
  <c r="L23" i="2" s="1"/>
  <c r="J23" i="2"/>
  <c r="I23" i="2"/>
  <c r="H23" i="2"/>
  <c r="G23" i="2"/>
  <c r="M22" i="2"/>
  <c r="N22" i="2" s="1"/>
  <c r="K22" i="2"/>
  <c r="L22" i="2" s="1"/>
  <c r="J22" i="2"/>
  <c r="I22" i="2"/>
  <c r="H22" i="2"/>
  <c r="G22" i="2"/>
  <c r="M21" i="2"/>
  <c r="N21" i="2" s="1"/>
  <c r="K21" i="2"/>
  <c r="L21" i="2" s="1"/>
  <c r="J21" i="2"/>
  <c r="I21" i="2"/>
  <c r="H21" i="2"/>
  <c r="G21" i="2"/>
  <c r="M20" i="2"/>
  <c r="N20" i="2" s="1"/>
  <c r="K20" i="2"/>
  <c r="L20" i="2" s="1"/>
  <c r="J20" i="2"/>
  <c r="I20" i="2"/>
  <c r="H20" i="2"/>
  <c r="G20" i="2"/>
  <c r="M19" i="2"/>
  <c r="N19" i="2" s="1"/>
  <c r="K19" i="2"/>
  <c r="L19" i="2" s="1"/>
  <c r="J19" i="2"/>
  <c r="I19" i="2"/>
  <c r="I18" i="2" s="1"/>
  <c r="I40" i="2" s="1"/>
  <c r="H19" i="2"/>
  <c r="H18" i="2" s="1"/>
  <c r="H40" i="2" s="1"/>
  <c r="G19" i="2"/>
  <c r="G18" i="2" s="1"/>
  <c r="G40" i="2" s="1"/>
  <c r="M18" i="2"/>
  <c r="N18" i="2" s="1"/>
  <c r="J18" i="2"/>
  <c r="J40" i="2" s="1"/>
  <c r="M15" i="2"/>
  <c r="N15" i="2" s="1"/>
  <c r="K15" i="2"/>
  <c r="L15" i="2" s="1"/>
  <c r="J15" i="2"/>
  <c r="I15" i="2"/>
  <c r="H15" i="2"/>
  <c r="G15" i="2"/>
  <c r="M14" i="2"/>
  <c r="N14" i="2" s="1"/>
  <c r="K14" i="2"/>
  <c r="L14" i="2" s="1"/>
  <c r="J14" i="2"/>
  <c r="I14" i="2"/>
  <c r="H14" i="2"/>
  <c r="G14" i="2"/>
  <c r="M13" i="2"/>
  <c r="N13" i="2" s="1"/>
  <c r="K13" i="2"/>
  <c r="L13" i="2" s="1"/>
  <c r="J13" i="2"/>
  <c r="I13" i="2"/>
  <c r="H13" i="2"/>
  <c r="G13" i="2"/>
  <c r="M12" i="2"/>
  <c r="N12" i="2" s="1"/>
  <c r="K12" i="2"/>
  <c r="L12" i="2" s="1"/>
  <c r="J12" i="2"/>
  <c r="I12" i="2"/>
  <c r="H12" i="2"/>
  <c r="G12" i="2"/>
  <c r="M11" i="2"/>
  <c r="N11" i="2" s="1"/>
  <c r="K11" i="2"/>
  <c r="L11" i="2" s="1"/>
  <c r="J11" i="2"/>
  <c r="I11" i="2"/>
  <c r="H11" i="2"/>
  <c r="G11" i="2"/>
  <c r="M10" i="2"/>
  <c r="N10" i="2" s="1"/>
  <c r="K10" i="2"/>
  <c r="L10" i="2" s="1"/>
  <c r="J10" i="2"/>
  <c r="I10" i="2"/>
  <c r="H10" i="2"/>
  <c r="G10" i="2"/>
  <c r="M9" i="2"/>
  <c r="N9" i="2" s="1"/>
  <c r="K9" i="2"/>
  <c r="L9" i="2" s="1"/>
  <c r="J9" i="2"/>
  <c r="I9" i="2"/>
  <c r="H9" i="2"/>
  <c r="G9" i="2"/>
  <c r="M8" i="2"/>
  <c r="N8" i="2" s="1"/>
  <c r="K8" i="2"/>
  <c r="L8" i="2" s="1"/>
  <c r="J8" i="2"/>
  <c r="J16" i="2" s="1"/>
  <c r="I8" i="2"/>
  <c r="I16" i="2" s="1"/>
  <c r="H8" i="2"/>
  <c r="H16" i="2" s="1"/>
  <c r="H41" i="2" s="1"/>
  <c r="H42" i="2" s="1"/>
  <c r="G8" i="2"/>
  <c r="G16" i="2" s="1"/>
  <c r="G41" i="2" s="1"/>
  <c r="G42" i="2" s="1"/>
  <c r="I41" i="2" l="1"/>
  <c r="I42" i="2" s="1"/>
  <c r="L38" i="2"/>
  <c r="J41" i="2"/>
  <c r="J42" i="2" s="1"/>
  <c r="K16" i="2"/>
  <c r="K18" i="2"/>
  <c r="L39" i="2"/>
  <c r="M40" i="2"/>
  <c r="N40" i="2" s="1"/>
  <c r="M16" i="2"/>
  <c r="N16" i="2" l="1"/>
  <c r="M41" i="2"/>
  <c r="N41" i="2" s="1"/>
  <c r="L16" i="2"/>
  <c r="K40" i="2"/>
  <c r="L40" i="2" s="1"/>
  <c r="L18" i="2"/>
  <c r="K41" i="2" l="1"/>
  <c r="K42" i="2" l="1"/>
  <c r="L41" i="2"/>
  <c r="Z244" i="1" l="1"/>
  <c r="V244" i="1"/>
  <c r="U244" i="1"/>
  <c r="Q244" i="1"/>
  <c r="P244" i="1"/>
  <c r="A242" i="1"/>
  <c r="S241" i="1"/>
  <c r="V241" i="1" s="1"/>
  <c r="B241" i="1"/>
  <c r="A241" i="1"/>
  <c r="Y240" i="1"/>
  <c r="Y239" i="1" s="1"/>
  <c r="Y238" i="1" s="1"/>
  <c r="Y237" i="1" s="1"/>
  <c r="W240" i="1"/>
  <c r="W239" i="1" s="1"/>
  <c r="W238" i="1" s="1"/>
  <c r="W237" i="1" s="1"/>
  <c r="T240" i="1"/>
  <c r="R240" i="1"/>
  <c r="Q240" i="1"/>
  <c r="P240" i="1"/>
  <c r="P239" i="1" s="1"/>
  <c r="O240" i="1"/>
  <c r="O239" i="1" s="1"/>
  <c r="O238" i="1" s="1"/>
  <c r="O237" i="1" s="1"/>
  <c r="N240" i="1"/>
  <c r="N239" i="1" s="1"/>
  <c r="N238" i="1" s="1"/>
  <c r="N237" i="1" s="1"/>
  <c r="M240" i="1"/>
  <c r="M239" i="1" s="1"/>
  <c r="M238" i="1" s="1"/>
  <c r="M237" i="1" s="1"/>
  <c r="B240" i="1"/>
  <c r="A240" i="1"/>
  <c r="R239" i="1"/>
  <c r="R238" i="1" s="1"/>
  <c r="R237" i="1" s="1"/>
  <c r="Q239" i="1"/>
  <c r="Q238" i="1" s="1"/>
  <c r="Q237" i="1" s="1"/>
  <c r="B239" i="1"/>
  <c r="A239" i="1"/>
  <c r="P238" i="1"/>
  <c r="P237" i="1" s="1"/>
  <c r="B238" i="1"/>
  <c r="A238" i="1"/>
  <c r="B237" i="1"/>
  <c r="A237" i="1"/>
  <c r="S236" i="1"/>
  <c r="B236" i="1"/>
  <c r="A236" i="1"/>
  <c r="Y235" i="1"/>
  <c r="Y234" i="1" s="1"/>
  <c r="W235" i="1"/>
  <c r="W234" i="1" s="1"/>
  <c r="T235" i="1"/>
  <c r="R235" i="1"/>
  <c r="R234" i="1" s="1"/>
  <c r="Q235" i="1"/>
  <c r="Q234" i="1" s="1"/>
  <c r="P235" i="1"/>
  <c r="O235" i="1"/>
  <c r="O234" i="1" s="1"/>
  <c r="N235" i="1"/>
  <c r="N234" i="1" s="1"/>
  <c r="M235" i="1"/>
  <c r="M234" i="1" s="1"/>
  <c r="B235" i="1"/>
  <c r="A235" i="1"/>
  <c r="T234" i="1"/>
  <c r="P234" i="1"/>
  <c r="B234" i="1"/>
  <c r="A234" i="1"/>
  <c r="S233" i="1"/>
  <c r="V233" i="1" s="1"/>
  <c r="B233" i="1"/>
  <c r="A233" i="1"/>
  <c r="Y232" i="1"/>
  <c r="Y231" i="1" s="1"/>
  <c r="W232" i="1"/>
  <c r="W231" i="1" s="1"/>
  <c r="T232" i="1"/>
  <c r="T231" i="1" s="1"/>
  <c r="R232" i="1"/>
  <c r="R231" i="1" s="1"/>
  <c r="Q232" i="1"/>
  <c r="Q231" i="1" s="1"/>
  <c r="P232" i="1"/>
  <c r="P231" i="1" s="1"/>
  <c r="O232" i="1"/>
  <c r="O231" i="1" s="1"/>
  <c r="N232" i="1"/>
  <c r="N231" i="1" s="1"/>
  <c r="M232" i="1"/>
  <c r="M231" i="1" s="1"/>
  <c r="B232" i="1"/>
  <c r="A232" i="1"/>
  <c r="B231" i="1"/>
  <c r="A231" i="1"/>
  <c r="S230" i="1"/>
  <c r="B230" i="1"/>
  <c r="A230" i="1"/>
  <c r="Y229" i="1"/>
  <c r="W229" i="1"/>
  <c r="T229" i="1"/>
  <c r="R229" i="1"/>
  <c r="Q229" i="1"/>
  <c r="P229" i="1"/>
  <c r="O229" i="1"/>
  <c r="N229" i="1"/>
  <c r="M229" i="1"/>
  <c r="B229" i="1"/>
  <c r="A229" i="1"/>
  <c r="S228" i="1"/>
  <c r="B228" i="1"/>
  <c r="A228" i="1"/>
  <c r="S227" i="1"/>
  <c r="S226" i="1" s="1"/>
  <c r="B227" i="1"/>
  <c r="A227" i="1"/>
  <c r="Y226" i="1"/>
  <c r="W226" i="1"/>
  <c r="T226" i="1"/>
  <c r="R226" i="1"/>
  <c r="Q226" i="1"/>
  <c r="Q225" i="1" s="1"/>
  <c r="P226" i="1"/>
  <c r="O226" i="1"/>
  <c r="N226" i="1"/>
  <c r="M226" i="1"/>
  <c r="M225" i="1" s="1"/>
  <c r="B226" i="1"/>
  <c r="A226" i="1"/>
  <c r="R225" i="1"/>
  <c r="N225" i="1"/>
  <c r="B225" i="1"/>
  <c r="A225" i="1"/>
  <c r="S224" i="1"/>
  <c r="V224" i="1" s="1"/>
  <c r="B224" i="1"/>
  <c r="A224" i="1"/>
  <c r="Y223" i="1"/>
  <c r="W223" i="1"/>
  <c r="T223" i="1"/>
  <c r="R223" i="1"/>
  <c r="Q223" i="1"/>
  <c r="P223" i="1"/>
  <c r="O223" i="1"/>
  <c r="N223" i="1"/>
  <c r="M223" i="1"/>
  <c r="B223" i="1"/>
  <c r="A223" i="1"/>
  <c r="S222" i="1"/>
  <c r="B222" i="1"/>
  <c r="A222" i="1"/>
  <c r="Y221" i="1"/>
  <c r="W221" i="1"/>
  <c r="T221" i="1"/>
  <c r="R221" i="1"/>
  <c r="Q221" i="1"/>
  <c r="P221" i="1"/>
  <c r="O221" i="1"/>
  <c r="N221" i="1"/>
  <c r="M221" i="1"/>
  <c r="B221" i="1"/>
  <c r="A221" i="1"/>
  <c r="S220" i="1"/>
  <c r="B220" i="1"/>
  <c r="A220" i="1"/>
  <c r="Y219" i="1"/>
  <c r="W219" i="1"/>
  <c r="T219" i="1"/>
  <c r="R219" i="1"/>
  <c r="Q219" i="1"/>
  <c r="P219" i="1"/>
  <c r="O219" i="1"/>
  <c r="N219" i="1"/>
  <c r="M219" i="1"/>
  <c r="B219" i="1"/>
  <c r="A219" i="1"/>
  <c r="S218" i="1"/>
  <c r="B218" i="1"/>
  <c r="A218" i="1"/>
  <c r="Y217" i="1"/>
  <c r="W217" i="1"/>
  <c r="T217" i="1"/>
  <c r="R217" i="1"/>
  <c r="Q217" i="1"/>
  <c r="P217" i="1"/>
  <c r="O217" i="1"/>
  <c r="N217" i="1"/>
  <c r="M217" i="1"/>
  <c r="B217" i="1"/>
  <c r="A217" i="1"/>
  <c r="B216" i="1"/>
  <c r="A216" i="1"/>
  <c r="S215" i="1"/>
  <c r="V215" i="1" s="1"/>
  <c r="B215" i="1"/>
  <c r="A215" i="1"/>
  <c r="P214" i="1"/>
  <c r="P213" i="1" s="1"/>
  <c r="B214" i="1"/>
  <c r="A214" i="1"/>
  <c r="Y213" i="1"/>
  <c r="W213" i="1"/>
  <c r="T213" i="1"/>
  <c r="R213" i="1"/>
  <c r="R210" i="1" s="1"/>
  <c r="Q213" i="1"/>
  <c r="O213" i="1"/>
  <c r="N213" i="1"/>
  <c r="N210" i="1" s="1"/>
  <c r="M213" i="1"/>
  <c r="B213" i="1"/>
  <c r="A213" i="1"/>
  <c r="P212" i="1"/>
  <c r="S212" i="1" s="1"/>
  <c r="B212" i="1"/>
  <c r="A212" i="1"/>
  <c r="Y211" i="1"/>
  <c r="W211" i="1"/>
  <c r="T211" i="1"/>
  <c r="R211" i="1"/>
  <c r="Q211" i="1"/>
  <c r="P211" i="1"/>
  <c r="O211" i="1"/>
  <c r="N211" i="1"/>
  <c r="M211" i="1"/>
  <c r="B211" i="1"/>
  <c r="A211" i="1"/>
  <c r="B210" i="1"/>
  <c r="A210" i="1"/>
  <c r="P209" i="1"/>
  <c r="B209" i="1"/>
  <c r="A209" i="1"/>
  <c r="Y208" i="1"/>
  <c r="Y207" i="1" s="1"/>
  <c r="W208" i="1"/>
  <c r="T208" i="1"/>
  <c r="T207" i="1" s="1"/>
  <c r="R208" i="1"/>
  <c r="R207" i="1" s="1"/>
  <c r="Q208" i="1"/>
  <c r="Q207" i="1" s="1"/>
  <c r="O208" i="1"/>
  <c r="O207" i="1" s="1"/>
  <c r="N208" i="1"/>
  <c r="N207" i="1" s="1"/>
  <c r="M208" i="1"/>
  <c r="B208" i="1"/>
  <c r="A208" i="1"/>
  <c r="M207" i="1"/>
  <c r="B207" i="1"/>
  <c r="A207" i="1"/>
  <c r="S206" i="1"/>
  <c r="B206" i="1"/>
  <c r="A206" i="1"/>
  <c r="Y205" i="1"/>
  <c r="W205" i="1"/>
  <c r="T205" i="1"/>
  <c r="R205" i="1"/>
  <c r="Q205" i="1"/>
  <c r="P205" i="1"/>
  <c r="O205" i="1"/>
  <c r="N205" i="1"/>
  <c r="M205" i="1"/>
  <c r="B205" i="1"/>
  <c r="A205" i="1"/>
  <c r="Q204" i="1"/>
  <c r="P204" i="1"/>
  <c r="B204" i="1"/>
  <c r="A204" i="1"/>
  <c r="Q203" i="1"/>
  <c r="P203" i="1"/>
  <c r="B203" i="1"/>
  <c r="A203" i="1"/>
  <c r="Y202" i="1"/>
  <c r="Y201" i="1" s="1"/>
  <c r="W202" i="1"/>
  <c r="T202" i="1"/>
  <c r="T201" i="1" s="1"/>
  <c r="R202" i="1"/>
  <c r="O202" i="1"/>
  <c r="N202" i="1"/>
  <c r="M202" i="1"/>
  <c r="B202" i="1"/>
  <c r="A202" i="1"/>
  <c r="B201" i="1"/>
  <c r="A201" i="1"/>
  <c r="Q200" i="1"/>
  <c r="B200" i="1"/>
  <c r="A200" i="1"/>
  <c r="P199" i="1"/>
  <c r="B199" i="1"/>
  <c r="A199" i="1"/>
  <c r="Y198" i="1"/>
  <c r="W198" i="1"/>
  <c r="T198" i="1"/>
  <c r="R198" i="1"/>
  <c r="O198" i="1"/>
  <c r="N198" i="1"/>
  <c r="M198" i="1"/>
  <c r="B198" i="1"/>
  <c r="A198" i="1"/>
  <c r="Q197" i="1"/>
  <c r="S197" i="1" s="1"/>
  <c r="B197" i="1"/>
  <c r="A197" i="1"/>
  <c r="Q196" i="1"/>
  <c r="Q195" i="1" s="1"/>
  <c r="P196" i="1"/>
  <c r="P195" i="1" s="1"/>
  <c r="B196" i="1"/>
  <c r="A196" i="1"/>
  <c r="Y195" i="1"/>
  <c r="Y186" i="1" s="1"/>
  <c r="W195" i="1"/>
  <c r="T195" i="1"/>
  <c r="R195" i="1"/>
  <c r="O195" i="1"/>
  <c r="N195" i="1"/>
  <c r="M195" i="1"/>
  <c r="B195" i="1"/>
  <c r="A195" i="1"/>
  <c r="P194" i="1"/>
  <c r="S194" i="1" s="1"/>
  <c r="B194" i="1"/>
  <c r="A194" i="1"/>
  <c r="Y193" i="1"/>
  <c r="W193" i="1"/>
  <c r="T193" i="1"/>
  <c r="R193" i="1"/>
  <c r="Q193" i="1"/>
  <c r="P193" i="1"/>
  <c r="O193" i="1"/>
  <c r="N193" i="1"/>
  <c r="M193" i="1"/>
  <c r="B193" i="1"/>
  <c r="A193" i="1"/>
  <c r="P192" i="1"/>
  <c r="S192" i="1" s="1"/>
  <c r="B192" i="1"/>
  <c r="A192" i="1"/>
  <c r="Y191" i="1"/>
  <c r="W191" i="1"/>
  <c r="T191" i="1"/>
  <c r="R191" i="1"/>
  <c r="Q191" i="1"/>
  <c r="P191" i="1"/>
  <c r="O191" i="1"/>
  <c r="N191" i="1"/>
  <c r="M191" i="1"/>
  <c r="B191" i="1"/>
  <c r="A191" i="1"/>
  <c r="P190" i="1"/>
  <c r="B190" i="1"/>
  <c r="A190" i="1"/>
  <c r="Y189" i="1"/>
  <c r="W189" i="1"/>
  <c r="T189" i="1"/>
  <c r="R189" i="1"/>
  <c r="Q189" i="1"/>
  <c r="O189" i="1"/>
  <c r="N189" i="1"/>
  <c r="M189" i="1"/>
  <c r="B189" i="1"/>
  <c r="A189" i="1"/>
  <c r="P188" i="1"/>
  <c r="B188" i="1"/>
  <c r="A188" i="1"/>
  <c r="Y187" i="1"/>
  <c r="W187" i="1"/>
  <c r="T187" i="1"/>
  <c r="R187" i="1"/>
  <c r="Q187" i="1"/>
  <c r="O187" i="1"/>
  <c r="N187" i="1"/>
  <c r="M187" i="1"/>
  <c r="B187" i="1"/>
  <c r="A187" i="1"/>
  <c r="B186" i="1"/>
  <c r="A186" i="1"/>
  <c r="S185" i="1"/>
  <c r="V185" i="1" s="1"/>
  <c r="B185" i="1"/>
  <c r="A185" i="1"/>
  <c r="Y184" i="1"/>
  <c r="W184" i="1"/>
  <c r="T184" i="1"/>
  <c r="R184" i="1"/>
  <c r="Q184" i="1"/>
  <c r="P184" i="1"/>
  <c r="O184" i="1"/>
  <c r="N184" i="1"/>
  <c r="M184" i="1"/>
  <c r="B184" i="1"/>
  <c r="A184" i="1"/>
  <c r="S183" i="1"/>
  <c r="S182" i="1" s="1"/>
  <c r="B183" i="1"/>
  <c r="A183" i="1"/>
  <c r="Y182" i="1"/>
  <c r="W182" i="1"/>
  <c r="T182" i="1"/>
  <c r="R182" i="1"/>
  <c r="Q182" i="1"/>
  <c r="P182" i="1"/>
  <c r="O182" i="1"/>
  <c r="N182" i="1"/>
  <c r="M182" i="1"/>
  <c r="B182" i="1"/>
  <c r="A182" i="1"/>
  <c r="S181" i="1"/>
  <c r="B181" i="1"/>
  <c r="A181" i="1"/>
  <c r="Y180" i="1"/>
  <c r="W180" i="1"/>
  <c r="T180" i="1"/>
  <c r="R180" i="1"/>
  <c r="Q180" i="1"/>
  <c r="P180" i="1"/>
  <c r="O180" i="1"/>
  <c r="N180" i="1"/>
  <c r="M180" i="1"/>
  <c r="B180" i="1"/>
  <c r="A180" i="1"/>
  <c r="S179" i="1"/>
  <c r="U179" i="1" s="1"/>
  <c r="U178" i="1" s="1"/>
  <c r="B179" i="1"/>
  <c r="A179" i="1"/>
  <c r="Y178" i="1"/>
  <c r="W178" i="1"/>
  <c r="T178" i="1"/>
  <c r="R178" i="1"/>
  <c r="Q178" i="1"/>
  <c r="P178" i="1"/>
  <c r="O178" i="1"/>
  <c r="N178" i="1"/>
  <c r="M178" i="1"/>
  <c r="B178" i="1"/>
  <c r="A178" i="1"/>
  <c r="S177" i="1"/>
  <c r="B177" i="1"/>
  <c r="A177" i="1"/>
  <c r="Y176" i="1"/>
  <c r="W176" i="1"/>
  <c r="T176" i="1"/>
  <c r="R176" i="1"/>
  <c r="Q176" i="1"/>
  <c r="P176" i="1"/>
  <c r="O176" i="1"/>
  <c r="N176" i="1"/>
  <c r="M176" i="1"/>
  <c r="B176" i="1"/>
  <c r="A176" i="1"/>
  <c r="B175" i="1"/>
  <c r="A175" i="1"/>
  <c r="Q174" i="1"/>
  <c r="P174" i="1"/>
  <c r="B174" i="1"/>
  <c r="A174" i="1"/>
  <c r="Q173" i="1"/>
  <c r="P173" i="1"/>
  <c r="B173" i="1"/>
  <c r="A173" i="1"/>
  <c r="Y172" i="1"/>
  <c r="W172" i="1"/>
  <c r="T172" i="1"/>
  <c r="T169" i="1" s="1"/>
  <c r="R172" i="1"/>
  <c r="O172" i="1"/>
  <c r="N172" i="1"/>
  <c r="M172" i="1"/>
  <c r="B172" i="1"/>
  <c r="A172" i="1"/>
  <c r="S171" i="1"/>
  <c r="B171" i="1"/>
  <c r="A171" i="1"/>
  <c r="Y170" i="1"/>
  <c r="W170" i="1"/>
  <c r="T170" i="1"/>
  <c r="R170" i="1"/>
  <c r="Q170" i="1"/>
  <c r="P170" i="1"/>
  <c r="O170" i="1"/>
  <c r="O169" i="1" s="1"/>
  <c r="N170" i="1"/>
  <c r="M170" i="1"/>
  <c r="B170" i="1"/>
  <c r="A170" i="1"/>
  <c r="B169" i="1"/>
  <c r="A169" i="1"/>
  <c r="S168" i="1"/>
  <c r="S167" i="1" s="1"/>
  <c r="B168" i="1"/>
  <c r="A168" i="1"/>
  <c r="Y167" i="1"/>
  <c r="W167" i="1"/>
  <c r="T167" i="1"/>
  <c r="R167" i="1"/>
  <c r="Q167" i="1"/>
  <c r="P167" i="1"/>
  <c r="O167" i="1"/>
  <c r="N167" i="1"/>
  <c r="M167" i="1"/>
  <c r="B167" i="1"/>
  <c r="A167" i="1"/>
  <c r="S166" i="1"/>
  <c r="U166" i="1" s="1"/>
  <c r="U165" i="1" s="1"/>
  <c r="B166" i="1"/>
  <c r="A166" i="1"/>
  <c r="Y165" i="1"/>
  <c r="W165" i="1"/>
  <c r="T165" i="1"/>
  <c r="S165" i="1"/>
  <c r="V165" i="1" s="1"/>
  <c r="R165" i="1"/>
  <c r="Q165" i="1"/>
  <c r="P165" i="1"/>
  <c r="O165" i="1"/>
  <c r="N165" i="1"/>
  <c r="M165" i="1"/>
  <c r="B165" i="1"/>
  <c r="A165" i="1"/>
  <c r="V164" i="1"/>
  <c r="S164" i="1"/>
  <c r="U164" i="1" s="1"/>
  <c r="U163" i="1" s="1"/>
  <c r="B164" i="1"/>
  <c r="A164" i="1"/>
  <c r="Y163" i="1"/>
  <c r="W163" i="1"/>
  <c r="T163" i="1"/>
  <c r="S163" i="1"/>
  <c r="R163" i="1"/>
  <c r="Q163" i="1"/>
  <c r="P163" i="1"/>
  <c r="O163" i="1"/>
  <c r="N163" i="1"/>
  <c r="M163" i="1"/>
  <c r="B163" i="1"/>
  <c r="A163" i="1"/>
  <c r="B162" i="1"/>
  <c r="A162" i="1"/>
  <c r="S161" i="1"/>
  <c r="B161" i="1"/>
  <c r="A161" i="1"/>
  <c r="Y160" i="1"/>
  <c r="Y159" i="1" s="1"/>
  <c r="W160" i="1"/>
  <c r="T160" i="1"/>
  <c r="R160" i="1"/>
  <c r="R159" i="1" s="1"/>
  <c r="Q160" i="1"/>
  <c r="Q159" i="1" s="1"/>
  <c r="P160" i="1"/>
  <c r="P159" i="1" s="1"/>
  <c r="O160" i="1"/>
  <c r="O159" i="1" s="1"/>
  <c r="N160" i="1"/>
  <c r="N159" i="1" s="1"/>
  <c r="M160" i="1"/>
  <c r="M159" i="1" s="1"/>
  <c r="B160" i="1"/>
  <c r="A160" i="1"/>
  <c r="T159" i="1"/>
  <c r="B159" i="1"/>
  <c r="A159" i="1"/>
  <c r="Q158" i="1"/>
  <c r="B158" i="1"/>
  <c r="A158" i="1"/>
  <c r="Y157" i="1"/>
  <c r="W157" i="1"/>
  <c r="T157" i="1"/>
  <c r="R157" i="1"/>
  <c r="P157" i="1"/>
  <c r="O157" i="1"/>
  <c r="N157" i="1"/>
  <c r="M157" i="1"/>
  <c r="B157" i="1"/>
  <c r="A157" i="1"/>
  <c r="S156" i="1"/>
  <c r="S155" i="1" s="1"/>
  <c r="B156" i="1"/>
  <c r="A156" i="1"/>
  <c r="Y155" i="1"/>
  <c r="W155" i="1"/>
  <c r="T155" i="1"/>
  <c r="R155" i="1"/>
  <c r="Q155" i="1"/>
  <c r="P155" i="1"/>
  <c r="P154" i="1" s="1"/>
  <c r="O155" i="1"/>
  <c r="N155" i="1"/>
  <c r="M155" i="1"/>
  <c r="B155" i="1"/>
  <c r="A155" i="1"/>
  <c r="B154" i="1"/>
  <c r="A154" i="1"/>
  <c r="S153" i="1"/>
  <c r="V153" i="1" s="1"/>
  <c r="B153" i="1"/>
  <c r="A153" i="1"/>
  <c r="Y152" i="1"/>
  <c r="W152" i="1"/>
  <c r="T152" i="1"/>
  <c r="R152" i="1"/>
  <c r="Q152" i="1"/>
  <c r="P152" i="1"/>
  <c r="O152" i="1"/>
  <c r="N152" i="1"/>
  <c r="M152" i="1"/>
  <c r="B152" i="1"/>
  <c r="A152" i="1"/>
  <c r="V151" i="1"/>
  <c r="S151" i="1"/>
  <c r="U151" i="1" s="1"/>
  <c r="U150" i="1" s="1"/>
  <c r="B151" i="1"/>
  <c r="A151" i="1"/>
  <c r="Y150" i="1"/>
  <c r="W150" i="1"/>
  <c r="W149" i="1" s="1"/>
  <c r="T150" i="1"/>
  <c r="S150" i="1"/>
  <c r="R150" i="1"/>
  <c r="Q150" i="1"/>
  <c r="P150" i="1"/>
  <c r="P149" i="1" s="1"/>
  <c r="O150" i="1"/>
  <c r="O149" i="1" s="1"/>
  <c r="N150" i="1"/>
  <c r="M150" i="1"/>
  <c r="B150" i="1"/>
  <c r="A150" i="1"/>
  <c r="B149" i="1"/>
  <c r="A149" i="1"/>
  <c r="P148" i="1"/>
  <c r="B148" i="1"/>
  <c r="A148" i="1"/>
  <c r="Y147" i="1"/>
  <c r="W147" i="1"/>
  <c r="T147" i="1"/>
  <c r="R147" i="1"/>
  <c r="Q147" i="1"/>
  <c r="O147" i="1"/>
  <c r="N147" i="1"/>
  <c r="M147" i="1"/>
  <c r="B147" i="1"/>
  <c r="A147" i="1"/>
  <c r="Q146" i="1"/>
  <c r="B146" i="1"/>
  <c r="A146" i="1"/>
  <c r="S145" i="1"/>
  <c r="B145" i="1"/>
  <c r="A145" i="1"/>
  <c r="Y144" i="1"/>
  <c r="W144" i="1"/>
  <c r="T144" i="1"/>
  <c r="R144" i="1"/>
  <c r="R143" i="1" s="1"/>
  <c r="P144" i="1"/>
  <c r="O144" i="1"/>
  <c r="N144" i="1"/>
  <c r="M144" i="1"/>
  <c r="B144" i="1"/>
  <c r="A144" i="1"/>
  <c r="B143" i="1"/>
  <c r="A143" i="1"/>
  <c r="Q142" i="1"/>
  <c r="B142" i="1"/>
  <c r="A142" i="1"/>
  <c r="Y141" i="1"/>
  <c r="W141" i="1"/>
  <c r="T141" i="1"/>
  <c r="R141" i="1"/>
  <c r="P141" i="1"/>
  <c r="O141" i="1"/>
  <c r="N141" i="1"/>
  <c r="M141" i="1"/>
  <c r="B141" i="1"/>
  <c r="A141" i="1"/>
  <c r="P140" i="1"/>
  <c r="S140" i="1" s="1"/>
  <c r="S139" i="1" s="1"/>
  <c r="B140" i="1"/>
  <c r="A140" i="1"/>
  <c r="Y139" i="1"/>
  <c r="W139" i="1"/>
  <c r="T139" i="1"/>
  <c r="R139" i="1"/>
  <c r="Q139" i="1"/>
  <c r="O139" i="1"/>
  <c r="N139" i="1"/>
  <c r="M139" i="1"/>
  <c r="B139" i="1"/>
  <c r="A139" i="1"/>
  <c r="S138" i="1"/>
  <c r="B138" i="1"/>
  <c r="A138" i="1"/>
  <c r="Y137" i="1"/>
  <c r="W137" i="1"/>
  <c r="T137" i="1"/>
  <c r="R137" i="1"/>
  <c r="Q137" i="1"/>
  <c r="P137" i="1"/>
  <c r="O137" i="1"/>
  <c r="N137" i="1"/>
  <c r="M137" i="1"/>
  <c r="B137" i="1"/>
  <c r="A137" i="1"/>
  <c r="S136" i="1"/>
  <c r="V136" i="1" s="1"/>
  <c r="B136" i="1"/>
  <c r="A136" i="1"/>
  <c r="Y135" i="1"/>
  <c r="W135" i="1"/>
  <c r="T135" i="1"/>
  <c r="S135" i="1"/>
  <c r="R135" i="1"/>
  <c r="Q135" i="1"/>
  <c r="P135" i="1"/>
  <c r="O135" i="1"/>
  <c r="N135" i="1"/>
  <c r="M135" i="1"/>
  <c r="B135" i="1"/>
  <c r="A135" i="1"/>
  <c r="B134" i="1"/>
  <c r="A134" i="1"/>
  <c r="V133" i="1"/>
  <c r="S133" i="1"/>
  <c r="U133" i="1" s="1"/>
  <c r="U132" i="1" s="1"/>
  <c r="B133" i="1"/>
  <c r="A133" i="1"/>
  <c r="Y132" i="1"/>
  <c r="W132" i="1"/>
  <c r="T132" i="1"/>
  <c r="S132" i="1"/>
  <c r="R132" i="1"/>
  <c r="Q132" i="1"/>
  <c r="P132" i="1"/>
  <c r="O132" i="1"/>
  <c r="N132" i="1"/>
  <c r="N125" i="1" s="1"/>
  <c r="M132" i="1"/>
  <c r="B132" i="1"/>
  <c r="A132" i="1"/>
  <c r="S131" i="1"/>
  <c r="B131" i="1"/>
  <c r="A131" i="1"/>
  <c r="Y130" i="1"/>
  <c r="W130" i="1"/>
  <c r="T130" i="1"/>
  <c r="R130" i="1"/>
  <c r="Q130" i="1"/>
  <c r="P130" i="1"/>
  <c r="O130" i="1"/>
  <c r="N130" i="1"/>
  <c r="M130" i="1"/>
  <c r="B130" i="1"/>
  <c r="A130" i="1"/>
  <c r="S129" i="1"/>
  <c r="B129" i="1"/>
  <c r="A129" i="1"/>
  <c r="Q128" i="1"/>
  <c r="S128" i="1" s="1"/>
  <c r="P128" i="1"/>
  <c r="B128" i="1"/>
  <c r="A128" i="1"/>
  <c r="Q127" i="1"/>
  <c r="P127" i="1"/>
  <c r="B127" i="1"/>
  <c r="A127" i="1"/>
  <c r="Y126" i="1"/>
  <c r="W126" i="1"/>
  <c r="T126" i="1"/>
  <c r="R126" i="1"/>
  <c r="P126" i="1"/>
  <c r="P125" i="1" s="1"/>
  <c r="O126" i="1"/>
  <c r="N126" i="1"/>
  <c r="M126" i="1"/>
  <c r="B126" i="1"/>
  <c r="A126" i="1"/>
  <c r="B125" i="1"/>
  <c r="A125" i="1"/>
  <c r="B124" i="1"/>
  <c r="A124" i="1"/>
  <c r="B123" i="1"/>
  <c r="A123" i="1"/>
  <c r="A122" i="1"/>
  <c r="S121" i="1"/>
  <c r="B121" i="1"/>
  <c r="A121" i="1"/>
  <c r="Y120" i="1"/>
  <c r="W120" i="1"/>
  <c r="T120" i="1"/>
  <c r="T119" i="1" s="1"/>
  <c r="T118" i="1" s="1"/>
  <c r="R120" i="1"/>
  <c r="R119" i="1" s="1"/>
  <c r="R118" i="1" s="1"/>
  <c r="Q120" i="1"/>
  <c r="Q119" i="1" s="1"/>
  <c r="Q118" i="1" s="1"/>
  <c r="P120" i="1"/>
  <c r="P119" i="1" s="1"/>
  <c r="P118" i="1" s="1"/>
  <c r="O120" i="1"/>
  <c r="O119" i="1" s="1"/>
  <c r="O118" i="1" s="1"/>
  <c r="N120" i="1"/>
  <c r="N119" i="1" s="1"/>
  <c r="N118" i="1" s="1"/>
  <c r="M120" i="1"/>
  <c r="B120" i="1"/>
  <c r="A120" i="1"/>
  <c r="Y119" i="1"/>
  <c r="M119" i="1"/>
  <c r="M118" i="1" s="1"/>
  <c r="B119" i="1"/>
  <c r="A119" i="1"/>
  <c r="B118" i="1"/>
  <c r="A118" i="1"/>
  <c r="S117" i="1"/>
  <c r="B117" i="1"/>
  <c r="S116" i="1"/>
  <c r="U116" i="1" s="1"/>
  <c r="B116" i="1"/>
  <c r="A116" i="1"/>
  <c r="Y115" i="1"/>
  <c r="W115" i="1"/>
  <c r="T115" i="1"/>
  <c r="R115" i="1"/>
  <c r="Q115" i="1"/>
  <c r="P115" i="1"/>
  <c r="O115" i="1"/>
  <c r="N115" i="1"/>
  <c r="M115" i="1"/>
  <c r="B115" i="1"/>
  <c r="A115" i="1"/>
  <c r="S114" i="1"/>
  <c r="B114" i="1"/>
  <c r="A114" i="1"/>
  <c r="Y113" i="1"/>
  <c r="W113" i="1"/>
  <c r="T113" i="1"/>
  <c r="R113" i="1"/>
  <c r="Q113" i="1"/>
  <c r="P113" i="1"/>
  <c r="O113" i="1"/>
  <c r="N113" i="1"/>
  <c r="M113" i="1"/>
  <c r="B113" i="1"/>
  <c r="A113" i="1"/>
  <c r="S112" i="1"/>
  <c r="B112" i="1"/>
  <c r="A112" i="1"/>
  <c r="S111" i="1"/>
  <c r="V111" i="1" s="1"/>
  <c r="B111" i="1"/>
  <c r="A111" i="1"/>
  <c r="S110" i="1"/>
  <c r="B110" i="1"/>
  <c r="A110" i="1"/>
  <c r="Y109" i="1"/>
  <c r="Y108" i="1" s="1"/>
  <c r="W109" i="1"/>
  <c r="T109" i="1"/>
  <c r="T108" i="1" s="1"/>
  <c r="R109" i="1"/>
  <c r="Q109" i="1"/>
  <c r="P109" i="1"/>
  <c r="P108" i="1" s="1"/>
  <c r="O109" i="1"/>
  <c r="O108" i="1" s="1"/>
  <c r="N109" i="1"/>
  <c r="M109" i="1"/>
  <c r="M108" i="1" s="1"/>
  <c r="B109" i="1"/>
  <c r="A109" i="1"/>
  <c r="R108" i="1"/>
  <c r="Q108" i="1"/>
  <c r="N108" i="1"/>
  <c r="B108" i="1"/>
  <c r="A108" i="1"/>
  <c r="B107" i="1"/>
  <c r="A107" i="1"/>
  <c r="P106" i="1"/>
  <c r="B106" i="1"/>
  <c r="A106" i="1"/>
  <c r="Q105" i="1"/>
  <c r="S105" i="1" s="1"/>
  <c r="B105" i="1"/>
  <c r="A105" i="1"/>
  <c r="Y104" i="1"/>
  <c r="Y103" i="1" s="1"/>
  <c r="W104" i="1"/>
  <c r="T104" i="1"/>
  <c r="R104" i="1"/>
  <c r="R103" i="1" s="1"/>
  <c r="O104" i="1"/>
  <c r="O103" i="1" s="1"/>
  <c r="N104" i="1"/>
  <c r="N103" i="1" s="1"/>
  <c r="M104" i="1"/>
  <c r="M103" i="1" s="1"/>
  <c r="B104" i="1"/>
  <c r="A104" i="1"/>
  <c r="W103" i="1"/>
  <c r="B103" i="1"/>
  <c r="A103" i="1"/>
  <c r="S102" i="1"/>
  <c r="V102" i="1" s="1"/>
  <c r="B102" i="1"/>
  <c r="A102" i="1"/>
  <c r="S101" i="1"/>
  <c r="B101" i="1"/>
  <c r="A101" i="1"/>
  <c r="Y100" i="1"/>
  <c r="Y99" i="1" s="1"/>
  <c r="Y98" i="1" s="1"/>
  <c r="W100" i="1"/>
  <c r="W99" i="1" s="1"/>
  <c r="W98" i="1" s="1"/>
  <c r="T100" i="1"/>
  <c r="T99" i="1" s="1"/>
  <c r="R100" i="1"/>
  <c r="Q100" i="1"/>
  <c r="Q99" i="1" s="1"/>
  <c r="Q98" i="1" s="1"/>
  <c r="P100" i="1"/>
  <c r="P99" i="1" s="1"/>
  <c r="P98" i="1" s="1"/>
  <c r="O100" i="1"/>
  <c r="O99" i="1" s="1"/>
  <c r="O98" i="1" s="1"/>
  <c r="N100" i="1"/>
  <c r="N99" i="1" s="1"/>
  <c r="N98" i="1" s="1"/>
  <c r="M100" i="1"/>
  <c r="M99" i="1" s="1"/>
  <c r="M98" i="1" s="1"/>
  <c r="B100" i="1"/>
  <c r="A100" i="1"/>
  <c r="R99" i="1"/>
  <c r="R98" i="1" s="1"/>
  <c r="B99" i="1"/>
  <c r="A99" i="1"/>
  <c r="B98" i="1"/>
  <c r="A98" i="1"/>
  <c r="S97" i="1"/>
  <c r="B97" i="1"/>
  <c r="A97" i="1"/>
  <c r="Y96" i="1"/>
  <c r="Y95" i="1" s="1"/>
  <c r="W96" i="1"/>
  <c r="W95" i="1" s="1"/>
  <c r="T96" i="1"/>
  <c r="T95" i="1" s="1"/>
  <c r="R96" i="1"/>
  <c r="R95" i="1" s="1"/>
  <c r="Q96" i="1"/>
  <c r="Q95" i="1" s="1"/>
  <c r="P96" i="1"/>
  <c r="P95" i="1" s="1"/>
  <c r="O96" i="1"/>
  <c r="O95" i="1" s="1"/>
  <c r="N96" i="1"/>
  <c r="N95" i="1" s="1"/>
  <c r="M96" i="1"/>
  <c r="M95" i="1" s="1"/>
  <c r="B96" i="1"/>
  <c r="A96" i="1"/>
  <c r="B95" i="1"/>
  <c r="A95" i="1"/>
  <c r="B94" i="1"/>
  <c r="A94" i="1"/>
  <c r="P93" i="1"/>
  <c r="S93" i="1" s="1"/>
  <c r="B93" i="1"/>
  <c r="A93" i="1"/>
  <c r="Q92" i="1"/>
  <c r="Q87" i="1" s="1"/>
  <c r="P92" i="1"/>
  <c r="B92" i="1"/>
  <c r="A92" i="1"/>
  <c r="P91" i="1"/>
  <c r="S91" i="1" s="1"/>
  <c r="B91" i="1"/>
  <c r="A91" i="1"/>
  <c r="P90" i="1"/>
  <c r="S90" i="1" s="1"/>
  <c r="B90" i="1"/>
  <c r="A90" i="1"/>
  <c r="P89" i="1"/>
  <c r="S89" i="1" s="1"/>
  <c r="B89" i="1"/>
  <c r="A89" i="1"/>
  <c r="Q88" i="1"/>
  <c r="P88" i="1"/>
  <c r="B88" i="1"/>
  <c r="A88" i="1"/>
  <c r="Y87" i="1"/>
  <c r="W87" i="1"/>
  <c r="T87" i="1"/>
  <c r="R87" i="1"/>
  <c r="O87" i="1"/>
  <c r="N87" i="1"/>
  <c r="M87" i="1"/>
  <c r="B87" i="1"/>
  <c r="A87" i="1"/>
  <c r="Q86" i="1"/>
  <c r="P86" i="1"/>
  <c r="B86" i="1"/>
  <c r="A86" i="1"/>
  <c r="Q85" i="1"/>
  <c r="P85" i="1"/>
  <c r="B85" i="1"/>
  <c r="A85" i="1"/>
  <c r="Q84" i="1"/>
  <c r="P84" i="1"/>
  <c r="B84" i="1"/>
  <c r="A84" i="1"/>
  <c r="Q83" i="1"/>
  <c r="B83" i="1"/>
  <c r="A83" i="1"/>
  <c r="Q82" i="1"/>
  <c r="P82" i="1"/>
  <c r="B82" i="1"/>
  <c r="A82" i="1"/>
  <c r="Q81" i="1"/>
  <c r="S81" i="1" s="1"/>
  <c r="B81" i="1"/>
  <c r="A81" i="1"/>
  <c r="Y80" i="1"/>
  <c r="W80" i="1"/>
  <c r="T80" i="1"/>
  <c r="R80" i="1"/>
  <c r="O80" i="1"/>
  <c r="N80" i="1"/>
  <c r="M80" i="1"/>
  <c r="B80" i="1"/>
  <c r="A80" i="1"/>
  <c r="Q79" i="1"/>
  <c r="Q77" i="1" s="1"/>
  <c r="P79" i="1"/>
  <c r="B79" i="1"/>
  <c r="A79" i="1"/>
  <c r="P78" i="1"/>
  <c r="B78" i="1"/>
  <c r="A78" i="1"/>
  <c r="Y77" i="1"/>
  <c r="W77" i="1"/>
  <c r="T77" i="1"/>
  <c r="R77" i="1"/>
  <c r="O77" i="1"/>
  <c r="N77" i="1"/>
  <c r="M77" i="1"/>
  <c r="B77" i="1"/>
  <c r="A77" i="1"/>
  <c r="Q76" i="1"/>
  <c r="S76" i="1" s="1"/>
  <c r="B76" i="1"/>
  <c r="A76" i="1"/>
  <c r="Q75" i="1"/>
  <c r="S75" i="1" s="1"/>
  <c r="B75" i="1"/>
  <c r="A75" i="1"/>
  <c r="Q74" i="1"/>
  <c r="B74" i="1"/>
  <c r="A74" i="1"/>
  <c r="Q73" i="1"/>
  <c r="P73" i="1"/>
  <c r="B73" i="1"/>
  <c r="A73" i="1"/>
  <c r="S72" i="1"/>
  <c r="P72" i="1"/>
  <c r="B72" i="1"/>
  <c r="A72" i="1"/>
  <c r="Y71" i="1"/>
  <c r="Y70" i="1" s="1"/>
  <c r="W71" i="1"/>
  <c r="T71" i="1"/>
  <c r="R71" i="1"/>
  <c r="R70" i="1" s="1"/>
  <c r="P71" i="1"/>
  <c r="O71" i="1"/>
  <c r="N71" i="1"/>
  <c r="M71" i="1"/>
  <c r="B71" i="1"/>
  <c r="A71" i="1"/>
  <c r="B70" i="1"/>
  <c r="A70" i="1"/>
  <c r="V69" i="1"/>
  <c r="Q69" i="1"/>
  <c r="S69" i="1" s="1"/>
  <c r="U69" i="1" s="1"/>
  <c r="B69" i="1"/>
  <c r="A69" i="1"/>
  <c r="Q68" i="1"/>
  <c r="P68" i="1"/>
  <c r="S68" i="1" s="1"/>
  <c r="B68" i="1"/>
  <c r="A68" i="1"/>
  <c r="Q67" i="1"/>
  <c r="P67" i="1"/>
  <c r="B67" i="1"/>
  <c r="A67" i="1"/>
  <c r="S66" i="1"/>
  <c r="B66" i="1"/>
  <c r="A66" i="1"/>
  <c r="Y65" i="1"/>
  <c r="W65" i="1"/>
  <c r="T65" i="1"/>
  <c r="R65" i="1"/>
  <c r="O65" i="1"/>
  <c r="N65" i="1"/>
  <c r="M65" i="1"/>
  <c r="B65" i="1"/>
  <c r="A65" i="1"/>
  <c r="Q64" i="1"/>
  <c r="P64" i="1"/>
  <c r="B64" i="1"/>
  <c r="A64" i="1"/>
  <c r="S63" i="1"/>
  <c r="B63" i="1"/>
  <c r="A63" i="1"/>
  <c r="P62" i="1"/>
  <c r="S62" i="1" s="1"/>
  <c r="V62" i="1" s="1"/>
  <c r="B62" i="1"/>
  <c r="A62" i="1"/>
  <c r="Q61" i="1"/>
  <c r="P61" i="1"/>
  <c r="B61" i="1"/>
  <c r="A61" i="1"/>
  <c r="Q60" i="1"/>
  <c r="Q59" i="1" s="1"/>
  <c r="P60" i="1"/>
  <c r="B60" i="1"/>
  <c r="A60" i="1"/>
  <c r="Y59" i="1"/>
  <c r="W59" i="1"/>
  <c r="T59" i="1"/>
  <c r="R59" i="1"/>
  <c r="O59" i="1"/>
  <c r="O52" i="1" s="1"/>
  <c r="N59" i="1"/>
  <c r="M59" i="1"/>
  <c r="B59" i="1"/>
  <c r="A59" i="1"/>
  <c r="Q58" i="1"/>
  <c r="Q56" i="1" s="1"/>
  <c r="B58" i="1"/>
  <c r="A58" i="1"/>
  <c r="P57" i="1"/>
  <c r="S57" i="1" s="1"/>
  <c r="B57" i="1"/>
  <c r="A57" i="1"/>
  <c r="Y56" i="1"/>
  <c r="W56" i="1"/>
  <c r="T56" i="1"/>
  <c r="R56" i="1"/>
  <c r="P56" i="1"/>
  <c r="O56" i="1"/>
  <c r="N56" i="1"/>
  <c r="M56" i="1"/>
  <c r="B56" i="1"/>
  <c r="A56" i="1"/>
  <c r="S55" i="1"/>
  <c r="V55" i="1" s="1"/>
  <c r="B55" i="1"/>
  <c r="A55" i="1"/>
  <c r="V54" i="1"/>
  <c r="S54" i="1"/>
  <c r="B54" i="1"/>
  <c r="A54" i="1"/>
  <c r="Y53" i="1"/>
  <c r="W53" i="1"/>
  <c r="T53" i="1"/>
  <c r="R53" i="1"/>
  <c r="Q53" i="1"/>
  <c r="P53" i="1"/>
  <c r="O53" i="1"/>
  <c r="N53" i="1"/>
  <c r="M53" i="1"/>
  <c r="B53" i="1"/>
  <c r="A53" i="1"/>
  <c r="B52" i="1"/>
  <c r="A52" i="1"/>
  <c r="B51" i="1"/>
  <c r="A51" i="1"/>
  <c r="P50" i="1"/>
  <c r="S50" i="1" s="1"/>
  <c r="B50" i="1"/>
  <c r="A50" i="1"/>
  <c r="Q49" i="1"/>
  <c r="P49" i="1"/>
  <c r="B49" i="1"/>
  <c r="A49" i="1"/>
  <c r="Q48" i="1"/>
  <c r="P48" i="1"/>
  <c r="B48" i="1"/>
  <c r="A48" i="1"/>
  <c r="P47" i="1"/>
  <c r="S47" i="1" s="1"/>
  <c r="B47" i="1"/>
  <c r="A47" i="1"/>
  <c r="Y46" i="1"/>
  <c r="Y45" i="1" s="1"/>
  <c r="W46" i="1"/>
  <c r="W45" i="1" s="1"/>
  <c r="W44" i="1" s="1"/>
  <c r="T46" i="1"/>
  <c r="T45" i="1" s="1"/>
  <c r="R46" i="1"/>
  <c r="R45" i="1" s="1"/>
  <c r="R44" i="1" s="1"/>
  <c r="O46" i="1"/>
  <c r="O45" i="1" s="1"/>
  <c r="O44" i="1" s="1"/>
  <c r="N46" i="1"/>
  <c r="N45" i="1" s="1"/>
  <c r="N44" i="1" s="1"/>
  <c r="M46" i="1"/>
  <c r="M45" i="1" s="1"/>
  <c r="B46" i="1"/>
  <c r="A46" i="1"/>
  <c r="B45" i="1"/>
  <c r="A45" i="1"/>
  <c r="Y44" i="1"/>
  <c r="M44" i="1"/>
  <c r="B44" i="1"/>
  <c r="A44" i="1"/>
  <c r="B43" i="1"/>
  <c r="A43" i="1"/>
  <c r="P42" i="1"/>
  <c r="S42" i="1" s="1"/>
  <c r="B42" i="1"/>
  <c r="A42" i="1"/>
  <c r="P41" i="1"/>
  <c r="S41" i="1" s="1"/>
  <c r="B41" i="1"/>
  <c r="A41" i="1"/>
  <c r="S40" i="1"/>
  <c r="B40" i="1"/>
  <c r="A40" i="1"/>
  <c r="Q39" i="1"/>
  <c r="S39" i="1" s="1"/>
  <c r="V39" i="1" s="1"/>
  <c r="B39" i="1"/>
  <c r="A39" i="1"/>
  <c r="P38" i="1"/>
  <c r="S38" i="1" s="1"/>
  <c r="B38" i="1"/>
  <c r="A38" i="1"/>
  <c r="P37" i="1"/>
  <c r="S37" i="1" s="1"/>
  <c r="B37" i="1"/>
  <c r="A37" i="1"/>
  <c r="P36" i="1"/>
  <c r="S36" i="1" s="1"/>
  <c r="B36" i="1"/>
  <c r="A36" i="1"/>
  <c r="Q35" i="1"/>
  <c r="Q33" i="1" s="1"/>
  <c r="P35" i="1"/>
  <c r="B35" i="1"/>
  <c r="A35" i="1"/>
  <c r="P34" i="1"/>
  <c r="S34" i="1" s="1"/>
  <c r="B34" i="1"/>
  <c r="A34" i="1"/>
  <c r="Y33" i="1"/>
  <c r="W33" i="1"/>
  <c r="T33" i="1"/>
  <c r="R33" i="1"/>
  <c r="R32" i="1" s="1"/>
  <c r="O33" i="1"/>
  <c r="O32" i="1" s="1"/>
  <c r="N33" i="1"/>
  <c r="N32" i="1" s="1"/>
  <c r="M33" i="1"/>
  <c r="M32" i="1" s="1"/>
  <c r="B33" i="1"/>
  <c r="A33" i="1"/>
  <c r="T32" i="1"/>
  <c r="B32" i="1"/>
  <c r="A32" i="1"/>
  <c r="S31" i="1"/>
  <c r="V31" i="1" s="1"/>
  <c r="B31" i="1"/>
  <c r="A31" i="1"/>
  <c r="S30" i="1"/>
  <c r="B30" i="1"/>
  <c r="A30" i="1"/>
  <c r="S29" i="1"/>
  <c r="B29" i="1"/>
  <c r="A29" i="1"/>
  <c r="S28" i="1"/>
  <c r="B28" i="1"/>
  <c r="A28" i="1"/>
  <c r="P27" i="1"/>
  <c r="S27" i="1" s="1"/>
  <c r="V27" i="1" s="1"/>
  <c r="B27" i="1"/>
  <c r="A27" i="1"/>
  <c r="S26" i="1"/>
  <c r="B26" i="1"/>
  <c r="A26" i="1"/>
  <c r="P25" i="1"/>
  <c r="S25" i="1" s="1"/>
  <c r="B25" i="1"/>
  <c r="A25" i="1"/>
  <c r="Q24" i="1"/>
  <c r="S24" i="1" s="1"/>
  <c r="B24" i="1"/>
  <c r="A24" i="1"/>
  <c r="Q23" i="1"/>
  <c r="B23" i="1"/>
  <c r="A23" i="1"/>
  <c r="Y22" i="1"/>
  <c r="W22" i="1"/>
  <c r="T22" i="1"/>
  <c r="R22" i="1"/>
  <c r="O22" i="1"/>
  <c r="N22" i="1"/>
  <c r="M22" i="1"/>
  <c r="B22" i="1"/>
  <c r="A22" i="1"/>
  <c r="P21" i="1"/>
  <c r="S21" i="1" s="1"/>
  <c r="B21" i="1"/>
  <c r="A21" i="1"/>
  <c r="P20" i="1"/>
  <c r="S20" i="1" s="1"/>
  <c r="B20" i="1"/>
  <c r="A20" i="1"/>
  <c r="S19" i="1"/>
  <c r="V19" i="1" s="1"/>
  <c r="B19" i="1"/>
  <c r="A19" i="1"/>
  <c r="P18" i="1"/>
  <c r="S18" i="1" s="1"/>
  <c r="B18" i="1"/>
  <c r="A18" i="1"/>
  <c r="S17" i="1"/>
  <c r="B17" i="1"/>
  <c r="A17" i="1"/>
  <c r="S16" i="1"/>
  <c r="B16" i="1"/>
  <c r="A16" i="1"/>
  <c r="S15" i="1"/>
  <c r="V15" i="1" s="1"/>
  <c r="B15" i="1"/>
  <c r="A15" i="1"/>
  <c r="P14" i="1"/>
  <c r="S14" i="1" s="1"/>
  <c r="B14" i="1"/>
  <c r="A14" i="1"/>
  <c r="S13" i="1"/>
  <c r="B13" i="1"/>
  <c r="A13" i="1"/>
  <c r="Q12" i="1"/>
  <c r="Q11" i="1" s="1"/>
  <c r="Q10" i="1" s="1"/>
  <c r="B12" i="1"/>
  <c r="A12" i="1"/>
  <c r="Y11" i="1"/>
  <c r="Y10" i="1" s="1"/>
  <c r="W11" i="1"/>
  <c r="W10" i="1" s="1"/>
  <c r="T11" i="1"/>
  <c r="T10" i="1" s="1"/>
  <c r="R11" i="1"/>
  <c r="O11" i="1"/>
  <c r="O10" i="1" s="1"/>
  <c r="N11" i="1"/>
  <c r="N10" i="1" s="1"/>
  <c r="M11" i="1"/>
  <c r="M10" i="1" s="1"/>
  <c r="B11" i="1"/>
  <c r="A11" i="1"/>
  <c r="R10" i="1"/>
  <c r="R9" i="1" s="1"/>
  <c r="R8" i="1" s="1"/>
  <c r="B10" i="1"/>
  <c r="A10" i="1"/>
  <c r="B9" i="1"/>
  <c r="A9" i="1"/>
  <c r="B8" i="1"/>
  <c r="A8" i="1"/>
  <c r="B7" i="1"/>
  <c r="A7" i="1"/>
  <c r="V37" i="1" l="1"/>
  <c r="V13" i="1"/>
  <c r="V17" i="1"/>
  <c r="V128" i="1"/>
  <c r="R125" i="1"/>
  <c r="P208" i="1"/>
  <c r="P207" i="1" s="1"/>
  <c r="S209" i="1"/>
  <c r="V218" i="1"/>
  <c r="V228" i="1"/>
  <c r="U228" i="1"/>
  <c r="V26" i="1"/>
  <c r="V28" i="1"/>
  <c r="U29" i="1"/>
  <c r="V30" i="1"/>
  <c r="U38" i="1"/>
  <c r="W119" i="1"/>
  <c r="V138" i="1"/>
  <c r="V197" i="1"/>
  <c r="V212" i="1"/>
  <c r="Q216" i="1"/>
  <c r="N216" i="1"/>
  <c r="R216" i="1"/>
  <c r="V16" i="1"/>
  <c r="V57" i="1"/>
  <c r="S86" i="1"/>
  <c r="U93" i="1"/>
  <c r="U171" i="1"/>
  <c r="U170" i="1" s="1"/>
  <c r="S170" i="1"/>
  <c r="V170" i="1" s="1"/>
  <c r="V177" i="1"/>
  <c r="S176" i="1"/>
  <c r="U177" i="1"/>
  <c r="U176" i="1" s="1"/>
  <c r="M210" i="1"/>
  <c r="V18" i="1"/>
  <c r="U36" i="1"/>
  <c r="S180" i="1"/>
  <c r="V180" i="1" s="1"/>
  <c r="W216" i="1"/>
  <c r="Y32" i="1"/>
  <c r="Y9" i="1" s="1"/>
  <c r="Y8" i="1" s="1"/>
  <c r="W32" i="1"/>
  <c r="S33" i="1"/>
  <c r="S32" i="1" s="1"/>
  <c r="V32" i="1" s="1"/>
  <c r="S35" i="1"/>
  <c r="S49" i="1"/>
  <c r="W52" i="1"/>
  <c r="U54" i="1"/>
  <c r="U66" i="1"/>
  <c r="N94" i="1"/>
  <c r="W108" i="1"/>
  <c r="U112" i="1"/>
  <c r="W159" i="1"/>
  <c r="U161" i="1"/>
  <c r="U160" i="1" s="1"/>
  <c r="U159" i="1" s="1"/>
  <c r="S160" i="1"/>
  <c r="V160" i="1" s="1"/>
  <c r="M186" i="1"/>
  <c r="W207" i="1"/>
  <c r="N52" i="1"/>
  <c r="R52" i="1"/>
  <c r="R51" i="1" s="1"/>
  <c r="R43" i="1" s="1"/>
  <c r="S64" i="1"/>
  <c r="Q107" i="1"/>
  <c r="M107" i="1"/>
  <c r="Y107" i="1"/>
  <c r="S127" i="1"/>
  <c r="Y134" i="1"/>
  <c r="M143" i="1"/>
  <c r="M162" i="1"/>
  <c r="Q162" i="1"/>
  <c r="Y175" i="1"/>
  <c r="O201" i="1"/>
  <c r="W70" i="1"/>
  <c r="S79" i="1"/>
  <c r="S85" i="1"/>
  <c r="S92" i="1"/>
  <c r="Y125" i="1"/>
  <c r="N134" i="1"/>
  <c r="R134" i="1"/>
  <c r="N149" i="1"/>
  <c r="M201" i="1"/>
  <c r="U215" i="1"/>
  <c r="S229" i="1"/>
  <c r="U90" i="1"/>
  <c r="V90" i="1"/>
  <c r="U105" i="1"/>
  <c r="V105" i="1"/>
  <c r="S58" i="1"/>
  <c r="M70" i="1"/>
  <c r="V112" i="1"/>
  <c r="Q126" i="1"/>
  <c r="Q125" i="1" s="1"/>
  <c r="W143" i="1"/>
  <c r="V179" i="1"/>
  <c r="R201" i="1"/>
  <c r="U57" i="1"/>
  <c r="N107" i="1"/>
  <c r="O107" i="1"/>
  <c r="O143" i="1"/>
  <c r="O154" i="1"/>
  <c r="P175" i="1"/>
  <c r="S214" i="1"/>
  <c r="P11" i="1"/>
  <c r="P10" i="1" s="1"/>
  <c r="U55" i="1"/>
  <c r="U53" i="1" s="1"/>
  <c r="S67" i="1"/>
  <c r="Q104" i="1"/>
  <c r="Q103" i="1" s="1"/>
  <c r="M134" i="1"/>
  <c r="S137" i="1"/>
  <c r="V140" i="1"/>
  <c r="V167" i="1"/>
  <c r="V182" i="1"/>
  <c r="R186" i="1"/>
  <c r="Q210" i="1"/>
  <c r="U224" i="1"/>
  <c r="U223" i="1" s="1"/>
  <c r="U233" i="1"/>
  <c r="U232" i="1" s="1"/>
  <c r="U231" i="1" s="1"/>
  <c r="N154" i="1"/>
  <c r="S178" i="1"/>
  <c r="V178" i="1" s="1"/>
  <c r="U26" i="1"/>
  <c r="V93" i="1"/>
  <c r="U138" i="1"/>
  <c r="U137" i="1" s="1"/>
  <c r="W210" i="1"/>
  <c r="M216" i="1"/>
  <c r="M9" i="1"/>
  <c r="M8" i="1" s="1"/>
  <c r="Q32" i="1"/>
  <c r="Y52" i="1"/>
  <c r="Y51" i="1" s="1"/>
  <c r="Y43" i="1" s="1"/>
  <c r="S61" i="1"/>
  <c r="S84" i="1"/>
  <c r="T103" i="1"/>
  <c r="R94" i="1"/>
  <c r="O125" i="1"/>
  <c r="T125" i="1"/>
  <c r="R149" i="1"/>
  <c r="M154" i="1"/>
  <c r="R162" i="1"/>
  <c r="W169" i="1"/>
  <c r="W175" i="1"/>
  <c r="N201" i="1"/>
  <c r="P202" i="1"/>
  <c r="P201" i="1" s="1"/>
  <c r="S223" i="1"/>
  <c r="P225" i="1"/>
  <c r="S232" i="1"/>
  <c r="V14" i="1"/>
  <c r="U14" i="1"/>
  <c r="V41" i="1"/>
  <c r="U41" i="1"/>
  <c r="V24" i="1"/>
  <c r="U24" i="1"/>
  <c r="V20" i="1"/>
  <c r="U20" i="1"/>
  <c r="V47" i="1"/>
  <c r="U47" i="1"/>
  <c r="V50" i="1"/>
  <c r="U50" i="1"/>
  <c r="S12" i="1"/>
  <c r="U13" i="1"/>
  <c r="U16" i="1"/>
  <c r="U17" i="1"/>
  <c r="U28" i="1"/>
  <c r="V29" i="1"/>
  <c r="U30" i="1"/>
  <c r="U31" i="1"/>
  <c r="P80" i="1"/>
  <c r="S82" i="1"/>
  <c r="P107" i="1"/>
  <c r="S109" i="1"/>
  <c r="V114" i="1"/>
  <c r="U114" i="1"/>
  <c r="U113" i="1" s="1"/>
  <c r="W162" i="1"/>
  <c r="Q172" i="1"/>
  <c r="Q169" i="1" s="1"/>
  <c r="S200" i="1"/>
  <c r="Q198" i="1"/>
  <c r="P210" i="1"/>
  <c r="V229" i="1"/>
  <c r="N9" i="1"/>
  <c r="N8" i="1" s="1"/>
  <c r="Q22" i="1"/>
  <c r="P65" i="1"/>
  <c r="V75" i="1"/>
  <c r="U75" i="1"/>
  <c r="V131" i="1"/>
  <c r="S130" i="1"/>
  <c r="V130" i="1" s="1"/>
  <c r="S142" i="1"/>
  <c r="Q141" i="1"/>
  <c r="M149" i="1"/>
  <c r="Q149" i="1"/>
  <c r="V155" i="1"/>
  <c r="S159" i="1"/>
  <c r="V159" i="1" s="1"/>
  <c r="S162" i="1"/>
  <c r="R175" i="1"/>
  <c r="U206" i="1"/>
  <c r="U205" i="1" s="1"/>
  <c r="S205" i="1"/>
  <c r="V205" i="1" s="1"/>
  <c r="S240" i="1"/>
  <c r="U19" i="1"/>
  <c r="O9" i="1"/>
  <c r="O8" i="1" s="1"/>
  <c r="W9" i="1"/>
  <c r="Q46" i="1"/>
  <c r="Q45" i="1" s="1"/>
  <c r="Q44" i="1" s="1"/>
  <c r="S53" i="1"/>
  <c r="V53" i="1" s="1"/>
  <c r="S60" i="1"/>
  <c r="U62" i="1"/>
  <c r="V66" i="1"/>
  <c r="V97" i="1"/>
  <c r="S96" i="1"/>
  <c r="Q94" i="1"/>
  <c r="W94" i="1"/>
  <c r="S113" i="1"/>
  <c r="V113" i="1" s="1"/>
  <c r="W125" i="1"/>
  <c r="U131" i="1"/>
  <c r="U130" i="1" s="1"/>
  <c r="W134" i="1"/>
  <c r="Y149" i="1"/>
  <c r="U153" i="1"/>
  <c r="U152" i="1" s="1"/>
  <c r="U149" i="1" s="1"/>
  <c r="S152" i="1"/>
  <c r="S184" i="1"/>
  <c r="U185" i="1"/>
  <c r="U184" i="1" s="1"/>
  <c r="Q186" i="1"/>
  <c r="V206" i="1"/>
  <c r="T225" i="1"/>
  <c r="S231" i="1"/>
  <c r="V232" i="1"/>
  <c r="U236" i="1"/>
  <c r="U235" i="1" s="1"/>
  <c r="U234" i="1" s="1"/>
  <c r="S235" i="1"/>
  <c r="T239" i="1"/>
  <c r="T238" i="1" s="1"/>
  <c r="U86" i="1"/>
  <c r="V86" i="1"/>
  <c r="V139" i="1"/>
  <c r="N143" i="1"/>
  <c r="P162" i="1"/>
  <c r="O175" i="1"/>
  <c r="N186" i="1"/>
  <c r="T186" i="1"/>
  <c r="W201" i="1"/>
  <c r="O210" i="1"/>
  <c r="U218" i="1"/>
  <c r="U217" i="1" s="1"/>
  <c r="S217" i="1"/>
  <c r="V217" i="1" s="1"/>
  <c r="V220" i="1"/>
  <c r="U220" i="1"/>
  <c r="U219" i="1" s="1"/>
  <c r="S219" i="1"/>
  <c r="Y225" i="1"/>
  <c r="V236" i="1"/>
  <c r="S73" i="1"/>
  <c r="O70" i="1"/>
  <c r="O51" i="1" s="1"/>
  <c r="O43" i="1" s="1"/>
  <c r="N70" i="1"/>
  <c r="M125" i="1"/>
  <c r="R154" i="1"/>
  <c r="Y154" i="1"/>
  <c r="W154" i="1"/>
  <c r="Y162" i="1"/>
  <c r="N175" i="1"/>
  <c r="O186" i="1"/>
  <c r="S196" i="1"/>
  <c r="V196" i="1" s="1"/>
  <c r="Q202" i="1"/>
  <c r="Q201" i="1" s="1"/>
  <c r="Y210" i="1"/>
  <c r="O216" i="1"/>
  <c r="Y216" i="1"/>
  <c r="S88" i="1"/>
  <c r="Y94" i="1"/>
  <c r="V132" i="1"/>
  <c r="O134" i="1"/>
  <c r="Q134" i="1"/>
  <c r="Y143" i="1"/>
  <c r="V161" i="1"/>
  <c r="V166" i="1"/>
  <c r="O162" i="1"/>
  <c r="M169" i="1"/>
  <c r="V171" i="1"/>
  <c r="P216" i="1"/>
  <c r="O225" i="1"/>
  <c r="T9" i="1"/>
  <c r="V21" i="1"/>
  <c r="U21" i="1"/>
  <c r="V33" i="1"/>
  <c r="S108" i="1"/>
  <c r="V25" i="1"/>
  <c r="U25" i="1"/>
  <c r="Q9" i="1"/>
  <c r="Q8" i="1" s="1"/>
  <c r="T44" i="1"/>
  <c r="V67" i="1"/>
  <c r="U67" i="1"/>
  <c r="S65" i="1"/>
  <c r="V65" i="1" s="1"/>
  <c r="O94" i="1"/>
  <c r="V101" i="1"/>
  <c r="U101" i="1"/>
  <c r="T143" i="1"/>
  <c r="U15" i="1"/>
  <c r="U18" i="1"/>
  <c r="P22" i="1"/>
  <c r="S23" i="1"/>
  <c r="U27" i="1"/>
  <c r="U35" i="1"/>
  <c r="V36" i="1"/>
  <c r="U37" i="1"/>
  <c r="V38" i="1"/>
  <c r="U39" i="1"/>
  <c r="M52" i="1"/>
  <c r="M51" i="1" s="1"/>
  <c r="M43" i="1" s="1"/>
  <c r="P59" i="1"/>
  <c r="U64" i="1"/>
  <c r="T70" i="1"/>
  <c r="V72" i="1"/>
  <c r="U72" i="1"/>
  <c r="S74" i="1"/>
  <c r="Q71" i="1"/>
  <c r="V76" i="1"/>
  <c r="U76" i="1"/>
  <c r="S87" i="1"/>
  <c r="S100" i="1"/>
  <c r="R107" i="1"/>
  <c r="V121" i="1"/>
  <c r="S120" i="1"/>
  <c r="U121" i="1"/>
  <c r="U120" i="1" s="1"/>
  <c r="U119" i="1" s="1"/>
  <c r="U118" i="1" s="1"/>
  <c r="V40" i="1"/>
  <c r="U40" i="1"/>
  <c r="V63" i="1"/>
  <c r="U63" i="1"/>
  <c r="V68" i="1"/>
  <c r="U68" i="1"/>
  <c r="V110" i="1"/>
  <c r="U110" i="1"/>
  <c r="V127" i="1"/>
  <c r="S126" i="1"/>
  <c r="V135" i="1"/>
  <c r="S148" i="1"/>
  <c r="P147" i="1"/>
  <c r="V42" i="1"/>
  <c r="U42" i="1"/>
  <c r="P46" i="1"/>
  <c r="P45" i="1" s="1"/>
  <c r="P44" i="1" s="1"/>
  <c r="S48" i="1"/>
  <c r="T52" i="1"/>
  <c r="S56" i="1"/>
  <c r="V56" i="1" s="1"/>
  <c r="S78" i="1"/>
  <c r="P77" i="1"/>
  <c r="V79" i="1"/>
  <c r="V81" i="1"/>
  <c r="U81" i="1"/>
  <c r="S83" i="1"/>
  <c r="Q80" i="1"/>
  <c r="V84" i="1"/>
  <c r="U84" i="1"/>
  <c r="V89" i="1"/>
  <c r="U89" i="1"/>
  <c r="V91" i="1"/>
  <c r="U91" i="1"/>
  <c r="V92" i="1"/>
  <c r="U92" i="1"/>
  <c r="M94" i="1"/>
  <c r="T98" i="1"/>
  <c r="P104" i="1"/>
  <c r="P103" i="1" s="1"/>
  <c r="P94" i="1" s="1"/>
  <c r="S106" i="1"/>
  <c r="T107" i="1"/>
  <c r="S146" i="1"/>
  <c r="Q144" i="1"/>
  <c r="Q143" i="1" s="1"/>
  <c r="T154" i="1"/>
  <c r="V49" i="1"/>
  <c r="U49" i="1"/>
  <c r="P33" i="1"/>
  <c r="P32" i="1" s="1"/>
  <c r="V34" i="1"/>
  <c r="U34" i="1"/>
  <c r="U58" i="1"/>
  <c r="U56" i="1" s="1"/>
  <c r="Q65" i="1"/>
  <c r="Q52" i="1" s="1"/>
  <c r="U117" i="1"/>
  <c r="U115" i="1" s="1"/>
  <c r="V117" i="1"/>
  <c r="Y118" i="1"/>
  <c r="V145" i="1"/>
  <c r="U145" i="1"/>
  <c r="V129" i="1"/>
  <c r="U129" i="1"/>
  <c r="T134" i="1"/>
  <c r="P143" i="1"/>
  <c r="N162" i="1"/>
  <c r="V168" i="1"/>
  <c r="U168" i="1"/>
  <c r="U167" i="1" s="1"/>
  <c r="U162" i="1" s="1"/>
  <c r="P87" i="1"/>
  <c r="U97" i="1"/>
  <c r="U96" i="1" s="1"/>
  <c r="U95" i="1" s="1"/>
  <c r="U102" i="1"/>
  <c r="U111" i="1"/>
  <c r="V116" i="1"/>
  <c r="U128" i="1"/>
  <c r="U136" i="1"/>
  <c r="U135" i="1" s="1"/>
  <c r="S173" i="1"/>
  <c r="P172" i="1"/>
  <c r="P169" i="1" s="1"/>
  <c r="S115" i="1"/>
  <c r="U140" i="1"/>
  <c r="U139" i="1" s="1"/>
  <c r="Q157" i="1"/>
  <c r="Q154" i="1" s="1"/>
  <c r="S158" i="1"/>
  <c r="T149" i="1"/>
  <c r="V150" i="1"/>
  <c r="Y169" i="1"/>
  <c r="S175" i="1"/>
  <c r="W186" i="1"/>
  <c r="S190" i="1"/>
  <c r="P189" i="1"/>
  <c r="T210" i="1"/>
  <c r="P139" i="1"/>
  <c r="P134" i="1" s="1"/>
  <c r="V163" i="1"/>
  <c r="T162" i="1"/>
  <c r="V162" i="1" s="1"/>
  <c r="N169" i="1"/>
  <c r="R169" i="1"/>
  <c r="R124" i="1" s="1"/>
  <c r="R123" i="1" s="1"/>
  <c r="R122" i="1" s="1"/>
  <c r="S174" i="1"/>
  <c r="V176" i="1"/>
  <c r="V181" i="1"/>
  <c r="U181" i="1"/>
  <c r="U180" i="1" s="1"/>
  <c r="M175" i="1"/>
  <c r="Q175" i="1"/>
  <c r="S188" i="1"/>
  <c r="P187" i="1"/>
  <c r="V156" i="1"/>
  <c r="U156" i="1"/>
  <c r="U155" i="1" s="1"/>
  <c r="V183" i="1"/>
  <c r="U183" i="1"/>
  <c r="U182" i="1" s="1"/>
  <c r="V209" i="1"/>
  <c r="V222" i="1"/>
  <c r="U222" i="1"/>
  <c r="U221" i="1" s="1"/>
  <c r="S221" i="1"/>
  <c r="U192" i="1"/>
  <c r="U191" i="1" s="1"/>
  <c r="S191" i="1"/>
  <c r="U194" i="1"/>
  <c r="U193" i="1" s="1"/>
  <c r="S193" i="1"/>
  <c r="V193" i="1" s="1"/>
  <c r="S213" i="1"/>
  <c r="V213" i="1" s="1"/>
  <c r="V226" i="1"/>
  <c r="S225" i="1"/>
  <c r="V227" i="1"/>
  <c r="U227" i="1"/>
  <c r="U226" i="1" s="1"/>
  <c r="T175" i="1"/>
  <c r="V192" i="1"/>
  <c r="V194" i="1"/>
  <c r="S195" i="1"/>
  <c r="V195" i="1" s="1"/>
  <c r="S211" i="1"/>
  <c r="U212" i="1"/>
  <c r="U211" i="1" s="1"/>
  <c r="V223" i="1"/>
  <c r="U197" i="1"/>
  <c r="S199" i="1"/>
  <c r="P198" i="1"/>
  <c r="S203" i="1"/>
  <c r="S204" i="1"/>
  <c r="W225" i="1"/>
  <c r="V230" i="1"/>
  <c r="U230" i="1"/>
  <c r="U229" i="1" s="1"/>
  <c r="T237" i="1"/>
  <c r="U241" i="1"/>
  <c r="U240" i="1" s="1"/>
  <c r="U239" i="1" s="1"/>
  <c r="U238" i="1" s="1"/>
  <c r="U237" i="1" s="1"/>
  <c r="T216" i="1"/>
  <c r="V87" i="1" l="1"/>
  <c r="V219" i="1"/>
  <c r="V152" i="1"/>
  <c r="S11" i="1"/>
  <c r="W51" i="1"/>
  <c r="U216" i="1"/>
  <c r="S208" i="1"/>
  <c r="V58" i="1"/>
  <c r="Y7" i="1"/>
  <c r="V73" i="1"/>
  <c r="S71" i="1"/>
  <c r="U196" i="1"/>
  <c r="U195" i="1" s="1"/>
  <c r="S141" i="1"/>
  <c r="V200" i="1"/>
  <c r="W107" i="1"/>
  <c r="W118" i="1"/>
  <c r="U200" i="1"/>
  <c r="U209" i="1"/>
  <c r="U208" i="1" s="1"/>
  <c r="U207" i="1" s="1"/>
  <c r="V115" i="1"/>
  <c r="V137" i="1"/>
  <c r="U87" i="1"/>
  <c r="U142" i="1"/>
  <c r="U141" i="1" s="1"/>
  <c r="V109" i="1"/>
  <c r="U88" i="1"/>
  <c r="U85" i="1"/>
  <c r="V231" i="1"/>
  <c r="W8" i="1"/>
  <c r="U214" i="1"/>
  <c r="U213" i="1" s="1"/>
  <c r="V191" i="1"/>
  <c r="U79" i="1"/>
  <c r="U73" i="1"/>
  <c r="S46" i="1"/>
  <c r="V12" i="1"/>
  <c r="U127" i="1"/>
  <c r="U126" i="1" s="1"/>
  <c r="U125" i="1" s="1"/>
  <c r="U12" i="1"/>
  <c r="U65" i="1"/>
  <c r="N51" i="1"/>
  <c r="N43" i="1" s="1"/>
  <c r="N7" i="1" s="1"/>
  <c r="V85" i="1"/>
  <c r="V184" i="1"/>
  <c r="V61" i="1"/>
  <c r="V64" i="1"/>
  <c r="V35" i="1"/>
  <c r="U61" i="1"/>
  <c r="V142" i="1"/>
  <c r="R7" i="1"/>
  <c r="P70" i="1"/>
  <c r="V88" i="1"/>
  <c r="V214" i="1"/>
  <c r="Y124" i="1"/>
  <c r="Y123" i="1" s="1"/>
  <c r="Y122" i="1" s="1"/>
  <c r="Y242" i="1" s="1"/>
  <c r="Y245" i="1" s="1"/>
  <c r="M7" i="1"/>
  <c r="M124" i="1"/>
  <c r="M123" i="1" s="1"/>
  <c r="M122" i="1" s="1"/>
  <c r="O124" i="1"/>
  <c r="O123" i="1" s="1"/>
  <c r="O122" i="1" s="1"/>
  <c r="U60" i="1"/>
  <c r="U59" i="1" s="1"/>
  <c r="U52" i="1" s="1"/>
  <c r="V60" i="1"/>
  <c r="V82" i="1"/>
  <c r="U82" i="1"/>
  <c r="W124" i="1"/>
  <c r="Q124" i="1"/>
  <c r="Q123" i="1" s="1"/>
  <c r="Q122" i="1" s="1"/>
  <c r="S80" i="1"/>
  <c r="U109" i="1"/>
  <c r="U108" i="1" s="1"/>
  <c r="P52" i="1"/>
  <c r="P51" i="1" s="1"/>
  <c r="P43" i="1" s="1"/>
  <c r="P9" i="1"/>
  <c r="P8" i="1" s="1"/>
  <c r="S239" i="1"/>
  <c r="V240" i="1"/>
  <c r="N124" i="1"/>
  <c r="N123" i="1" s="1"/>
  <c r="N122" i="1" s="1"/>
  <c r="V235" i="1"/>
  <c r="S234" i="1"/>
  <c r="U210" i="1"/>
  <c r="V225" i="1"/>
  <c r="S59" i="1"/>
  <c r="S52" i="1" s="1"/>
  <c r="O7" i="1"/>
  <c r="P186" i="1"/>
  <c r="P124" i="1" s="1"/>
  <c r="P123" i="1" s="1"/>
  <c r="P122" i="1" s="1"/>
  <c r="U175" i="1"/>
  <c r="U33" i="1"/>
  <c r="S149" i="1"/>
  <c r="S95" i="1"/>
  <c r="V96" i="1"/>
  <c r="V108" i="1"/>
  <c r="S107" i="1"/>
  <c r="V107" i="1" s="1"/>
  <c r="T8" i="1"/>
  <c r="V199" i="1"/>
  <c r="S198" i="1"/>
  <c r="U199" i="1"/>
  <c r="U198" i="1" s="1"/>
  <c r="V221" i="1"/>
  <c r="S216" i="1"/>
  <c r="V216" i="1" s="1"/>
  <c r="V173" i="1"/>
  <c r="U173" i="1"/>
  <c r="S172" i="1"/>
  <c r="V100" i="1"/>
  <c r="S99" i="1"/>
  <c r="U203" i="1"/>
  <c r="V203" i="1"/>
  <c r="S202" i="1"/>
  <c r="V188" i="1"/>
  <c r="U188" i="1"/>
  <c r="U187" i="1" s="1"/>
  <c r="S187" i="1"/>
  <c r="U146" i="1"/>
  <c r="U144" i="1" s="1"/>
  <c r="V146" i="1"/>
  <c r="T94" i="1"/>
  <c r="S207" i="1"/>
  <c r="V207" i="1" s="1"/>
  <c r="V208" i="1"/>
  <c r="U190" i="1"/>
  <c r="U189" i="1" s="1"/>
  <c r="V190" i="1"/>
  <c r="S189" i="1"/>
  <c r="U134" i="1"/>
  <c r="S144" i="1"/>
  <c r="U32" i="1"/>
  <c r="V83" i="1"/>
  <c r="U83" i="1"/>
  <c r="T51" i="1"/>
  <c r="U148" i="1"/>
  <c r="U147" i="1" s="1"/>
  <c r="V148" i="1"/>
  <c r="S147" i="1"/>
  <c r="V126" i="1"/>
  <c r="S125" i="1"/>
  <c r="Q70" i="1"/>
  <c r="Q51" i="1" s="1"/>
  <c r="Q43" i="1" s="1"/>
  <c r="Q7" i="1" s="1"/>
  <c r="S45" i="1"/>
  <c r="V46" i="1"/>
  <c r="V23" i="1"/>
  <c r="S22" i="1"/>
  <c r="U23" i="1"/>
  <c r="U22" i="1" s="1"/>
  <c r="V204" i="1"/>
  <c r="U204" i="1"/>
  <c r="U107" i="1"/>
  <c r="S119" i="1"/>
  <c r="V120" i="1"/>
  <c r="R242" i="1"/>
  <c r="R245" i="1" s="1"/>
  <c r="S210" i="1"/>
  <c r="V210" i="1" s="1"/>
  <c r="V211" i="1"/>
  <c r="U225" i="1"/>
  <c r="U174" i="1"/>
  <c r="V174" i="1"/>
  <c r="V175" i="1"/>
  <c r="V158" i="1"/>
  <c r="U158" i="1"/>
  <c r="U157" i="1" s="1"/>
  <c r="U154" i="1" s="1"/>
  <c r="S157" i="1"/>
  <c r="T124" i="1"/>
  <c r="V149" i="1"/>
  <c r="V106" i="1"/>
  <c r="U106" i="1"/>
  <c r="U104" i="1" s="1"/>
  <c r="U103" i="1" s="1"/>
  <c r="V78" i="1"/>
  <c r="U78" i="1"/>
  <c r="S77" i="1"/>
  <c r="U48" i="1"/>
  <c r="U46" i="1" s="1"/>
  <c r="U45" i="1" s="1"/>
  <c r="U44" i="1" s="1"/>
  <c r="V48" i="1"/>
  <c r="S104" i="1"/>
  <c r="V74" i="1"/>
  <c r="U74" i="1"/>
  <c r="U11" i="1"/>
  <c r="U10" i="1" s="1"/>
  <c r="U9" i="1" s="1"/>
  <c r="U8" i="1" s="1"/>
  <c r="U100" i="1"/>
  <c r="U99" i="1" s="1"/>
  <c r="U98" i="1" s="1"/>
  <c r="V77" i="1" l="1"/>
  <c r="V198" i="1"/>
  <c r="V95" i="1"/>
  <c r="N242" i="1"/>
  <c r="N245" i="1" s="1"/>
  <c r="P7" i="1"/>
  <c r="P242" i="1" s="1"/>
  <c r="P245" i="1" s="1"/>
  <c r="W43" i="1"/>
  <c r="V141" i="1"/>
  <c r="S134" i="1"/>
  <c r="U77" i="1"/>
  <c r="V22" i="1"/>
  <c r="V71" i="1"/>
  <c r="V147" i="1"/>
  <c r="V189" i="1"/>
  <c r="W123" i="1"/>
  <c r="M242" i="1"/>
  <c r="M245" i="1" s="1"/>
  <c r="W7" i="1"/>
  <c r="V59" i="1"/>
  <c r="V80" i="1"/>
  <c r="U71" i="1"/>
  <c r="U70" i="1" s="1"/>
  <c r="U51" i="1" s="1"/>
  <c r="U43" i="1" s="1"/>
  <c r="U7" i="1" s="1"/>
  <c r="V234" i="1"/>
  <c r="S10" i="1"/>
  <c r="V11" i="1"/>
  <c r="U80" i="1"/>
  <c r="O242" i="1"/>
  <c r="O245" i="1" s="1"/>
  <c r="U143" i="1"/>
  <c r="S238" i="1"/>
  <c r="V239" i="1"/>
  <c r="U94" i="1"/>
  <c r="Q242" i="1"/>
  <c r="Q245" i="1" s="1"/>
  <c r="V119" i="1"/>
  <c r="S118" i="1"/>
  <c r="V118" i="1" s="1"/>
  <c r="V45" i="1"/>
  <c r="S44" i="1"/>
  <c r="V202" i="1"/>
  <c r="S201" i="1"/>
  <c r="U172" i="1"/>
  <c r="U169" i="1" s="1"/>
  <c r="V157" i="1"/>
  <c r="S154" i="1"/>
  <c r="V172" i="1"/>
  <c r="S169" i="1"/>
  <c r="V52" i="1"/>
  <c r="V104" i="1"/>
  <c r="S103" i="1"/>
  <c r="T123" i="1"/>
  <c r="S70" i="1"/>
  <c r="T43" i="1"/>
  <c r="T7" i="1" s="1"/>
  <c r="V187" i="1"/>
  <c r="S186" i="1"/>
  <c r="V144" i="1"/>
  <c r="S143" i="1"/>
  <c r="V125" i="1"/>
  <c r="U186" i="1"/>
  <c r="U202" i="1"/>
  <c r="U201" i="1" s="1"/>
  <c r="V99" i="1"/>
  <c r="S98" i="1"/>
  <c r="V103" i="1" l="1"/>
  <c r="V186" i="1"/>
  <c r="V70" i="1"/>
  <c r="V154" i="1"/>
  <c r="S9" i="1"/>
  <c r="V10" i="1"/>
  <c r="W242" i="1"/>
  <c r="W122" i="1"/>
  <c r="V143" i="1"/>
  <c r="V44" i="1"/>
  <c r="V134" i="1"/>
  <c r="V201" i="1"/>
  <c r="V169" i="1"/>
  <c r="U124" i="1"/>
  <c r="U123" i="1" s="1"/>
  <c r="U122" i="1" s="1"/>
  <c r="S124" i="1"/>
  <c r="S123" i="1" s="1"/>
  <c r="S237" i="1"/>
  <c r="V238" i="1"/>
  <c r="S51" i="1"/>
  <c r="T122" i="1"/>
  <c r="T242" i="1" s="1"/>
  <c r="V98" i="1"/>
  <c r="S94" i="1"/>
  <c r="U242" i="1"/>
  <c r="U245" i="1" s="1"/>
  <c r="V124" i="1" l="1"/>
  <c r="V94" i="1"/>
  <c r="V9" i="1"/>
  <c r="S8" i="1"/>
  <c r="V237" i="1"/>
  <c r="W245" i="1"/>
  <c r="T245" i="1"/>
  <c r="Z245" i="1"/>
  <c r="S122" i="1"/>
  <c r="V122" i="1" s="1"/>
  <c r="V123" i="1"/>
  <c r="S43" i="1"/>
  <c r="V51" i="1"/>
  <c r="V8" i="1" l="1"/>
  <c r="V43" i="1"/>
  <c r="S7" i="1"/>
  <c r="S242" i="1" l="1"/>
  <c r="X245" i="1" s="1"/>
  <c r="V7" i="1"/>
  <c r="S245" i="1" l="1"/>
  <c r="V242" i="1"/>
  <c r="V2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Fabio Jan Munoz Lopez</author>
    <author>USER</author>
    <author>Mirna Estela Pulido Alvarez</author>
  </authors>
  <commentList>
    <comment ref="Q12" authorId="0" shapeId="0" xr:uid="{5FF27C37-C9DF-42DB-A443-C3C165629A60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3523 09/08/2023 $1.100.000.000
RES.02009 DEL 202308921 $2.500.000.000
MM 7323 DEL 24/11/2023 $1.400.000.000</t>
        </r>
      </text>
    </comment>
    <comment ref="P14" authorId="0" shapeId="0" xr:uid="{9FD6713A-8B3F-4007-BD6F-80869CB91757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3523 09/08/2023 $300.000.000</t>
        </r>
      </text>
    </comment>
    <comment ref="P17" authorId="0" shapeId="0" xr:uid="{477AD5F4-7BD3-4A5B-8052-E8A484919DA8}">
      <text>
        <r>
          <rPr>
            <b/>
            <sz val="9"/>
            <color indexed="81"/>
            <rFont val="Tahoma"/>
            <family val="2"/>
          </rPr>
          <t>Fabio Jan Munoz Lopez:</t>
        </r>
        <r>
          <rPr>
            <sz val="9"/>
            <color indexed="81"/>
            <rFont val="Tahoma"/>
            <family val="2"/>
          </rPr>
          <t xml:space="preserve">
C/C 2823 29/06/2023 $700.000.000</t>
        </r>
      </text>
    </comment>
    <comment ref="P18" authorId="0" shapeId="0" xr:uid="{9CB6F011-43A1-495C-8256-3C1816E883E2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3523 09/08/2023 $200.000.000</t>
        </r>
      </text>
    </comment>
    <comment ref="P20" authorId="0" shapeId="0" xr:uid="{9DD7554F-5A13-4B72-9B85-5F10A7E23F42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7323 DEL 24/11/2023 $1.400.000.000</t>
        </r>
      </text>
    </comment>
    <comment ref="Q20" authorId="0" shapeId="0" xr:uid="{5DCA3266-7C20-4669-81D9-FFEB92F320FA}">
      <text>
        <r>
          <rPr>
            <b/>
            <sz val="9"/>
            <color indexed="81"/>
            <rFont val="Tahoma"/>
            <family val="2"/>
          </rPr>
          <t>Fabio Jan Munoz Lopez:</t>
        </r>
        <r>
          <rPr>
            <sz val="9"/>
            <color indexed="81"/>
            <rFont val="Tahoma"/>
            <family val="2"/>
          </rPr>
          <t xml:space="preserve">
C/C 2823 29/06/2023 $700.000.000</t>
        </r>
      </text>
    </comment>
    <comment ref="P21" authorId="0" shapeId="0" xr:uid="{071963F9-927D-466A-A65B-53116318387E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3523 09/08/2023 $600.000.000</t>
        </r>
      </text>
    </comment>
    <comment ref="Q23" authorId="0" shapeId="0" xr:uid="{0FAB70BB-6E94-46FF-AEB0-DA246EF106D8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4323 19/09/2023 $1.000.000
MM 4423 19/09/2023 $999.000.000
MM 4823 26/09/2023 $200.000.000</t>
        </r>
      </text>
    </comment>
    <comment ref="Q24" authorId="0" shapeId="0" xr:uid="{6A3378D3-8B1A-42BF-881A-7C35974C2E03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4323 19/09/2023 $500.000
MM 4423 19/09/2023 $499.500.000</t>
        </r>
      </text>
    </comment>
    <comment ref="P25" authorId="0" shapeId="0" xr:uid="{7DFC0B7D-CE62-4302-B944-A38FA557694D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4323 19/09/2023 $1.500.000
MM 4423 19/09/2023 $1.498.500.000</t>
        </r>
      </text>
    </comment>
    <comment ref="P27" authorId="0" shapeId="0" xr:uid="{61F530FC-7FF1-4EFB-ADD5-EE84C10DD002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4823 26/09/2023 $200.000.000</t>
        </r>
      </text>
    </comment>
    <comment ref="P34" authorId="0" shapeId="0" xr:uid="{55CA5180-8B23-4FA2-94C1-D6A85F35C8EC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RES.02009 DEL 202308921 $1.900.000.000</t>
        </r>
      </text>
    </comment>
    <comment ref="P35" authorId="0" shapeId="0" xr:uid="{3B1213C5-ABB8-441D-A763-C14669330425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RES.02009 DEL 202308921 $100.000.000</t>
        </r>
      </text>
    </comment>
    <comment ref="Q35" authorId="0" shapeId="0" xr:uid="{414BFB82-E27B-4848-AFA9-FF5E37BA1118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3823 18/08/2023 $50.000.000</t>
        </r>
      </text>
    </comment>
    <comment ref="P36" authorId="0" shapeId="0" xr:uid="{233D5E65-B783-4A87-B86D-1346BA53F776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RES.02009 DEL 202308921 $200.000.000</t>
        </r>
      </text>
    </comment>
    <comment ref="P37" authorId="0" shapeId="0" xr:uid="{0A03502E-E763-464D-9518-EABF86252996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3823 18/08/2023 $50.000.000</t>
        </r>
      </text>
    </comment>
    <comment ref="Q37" authorId="0" shapeId="0" xr:uid="{B4A0C776-7C0D-46DD-B63D-C7CA37D3BA8A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4323 19/09/2023 $23.000.000</t>
        </r>
      </text>
    </comment>
    <comment ref="P38" authorId="0" shapeId="0" xr:uid="{B3ADF129-AC7E-4501-B499-5816E00900A7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3423 09/08/2023 $4.000.000</t>
        </r>
      </text>
    </comment>
    <comment ref="P39" authorId="0" shapeId="0" xr:uid="{3B70E301-D498-4A60-A54E-C96D995A2C14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4323 19/09/2023 $23.000.000</t>
        </r>
      </text>
    </comment>
    <comment ref="Q39" authorId="0" shapeId="0" xr:uid="{17DC87BE-F8E2-4183-A7AF-F2B0E9DD67FD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3423 09/08/2023 $4.000.000</t>
        </r>
      </text>
    </comment>
    <comment ref="P41" authorId="0" shapeId="0" xr:uid="{F6E3A26D-E4B1-422E-8037-9DC634F5E38F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RES.02009 DEL 202308921 $200.000.000</t>
        </r>
      </text>
    </comment>
    <comment ref="P42" authorId="0" shapeId="0" xr:uid="{A927E2BF-F5BB-4A60-A141-2A7F061BC6DD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RES.02009 DEL 202308921 $100.000.000</t>
        </r>
      </text>
    </comment>
    <comment ref="P47" authorId="0" shapeId="0" xr:uid="{F74C1B86-A644-4368-8A3D-52F1DE9D4882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5723 DEL 20231017 $2.412.967.485
MM 6423 DEL 09/11/2023 $141.288.721</t>
        </r>
      </text>
    </comment>
    <comment ref="P48" authorId="0" shapeId="0" xr:uid="{55644433-470C-47B2-B808-87FB873FBC9D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2121 05/06/2023 $115.000.000
MM 2321 16/06/2023 $180.000.000
MM 5523 DEL 20231013 $745.640.974
MM 5623 DEL 20231013 $150.000.000</t>
        </r>
      </text>
    </comment>
    <comment ref="Q48" authorId="0" shapeId="0" xr:uid="{54AE9E7E-6F67-4BE0-ABC0-726E7B70EC28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3023 DEL 20230713 $90.000.000
MM 5723 DEL 20231017 $895.640.974
MM 5823 DEL 20231017 $90.000.000</t>
        </r>
      </text>
    </comment>
    <comment ref="P49" authorId="0" shapeId="0" xr:uid="{66443FF0-8A85-494C-8083-EA495ED9DF22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6523 DEL 10/11/2023 $27.041.788</t>
        </r>
      </text>
    </comment>
    <comment ref="Q49" authorId="1" shapeId="0" xr:uid="{6403ABA4-D033-46C6-A92A-F0312D24F0A0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423 DEL 20230317 $5.088.644
MM 823 DEL 20230329 $14.252.908
MM 7123 DEL 23/11/2023 $56.962.206</t>
        </r>
      </text>
    </comment>
    <comment ref="P50" authorId="1" shapeId="0" xr:uid="{6EA5F79D-1EAC-4E90-8FCB-BE761F086B79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5823 DEL 20231017 $57.792.977</t>
        </r>
      </text>
    </comment>
    <comment ref="P57" authorId="1" shapeId="0" xr:uid="{00D1EB9F-12B3-49EC-9C96-52332454FE29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223 DEL 20230313 $44.000.000
MM 1423 DEL 20230428 $22.000.000</t>
        </r>
      </text>
    </comment>
    <comment ref="Q58" authorId="0" shapeId="0" xr:uid="{1435E07B-F22D-4EF1-9D55-C24028F6D1FD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7423 DEL 28/11/2023 $5.526.141
MM 8023 DEL 21/12/2023 $250.000</t>
        </r>
      </text>
    </comment>
    <comment ref="P60" authorId="1" shapeId="0" xr:uid="{20E40DE1-9831-4081-9767-E949567A4555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523 DEL 20230317 $253.475.175
MM 5823 DEL 20231017 $121.559.393</t>
        </r>
      </text>
    </comment>
    <comment ref="Q60" authorId="0" shapeId="0" xr:uid="{E20877DE-4C55-4D33-82BB-A13F447C98E7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5523 DEL 20231013 $60.000.000</t>
        </r>
      </text>
    </comment>
    <comment ref="P61" authorId="1" shapeId="0" xr:uid="{10AB567E-356A-4DE7-9F87-960EB97345DD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523 DEL 20230317 $21.273.290</t>
        </r>
      </text>
    </comment>
    <comment ref="Q61" authorId="0" shapeId="0" xr:uid="{5564F67F-1A91-4B66-A2D7-EA63A140DABF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4923 DEL 2023/09/28 $4.500.000
MM 5823 DEL 20231017 $3.000.000</t>
        </r>
      </text>
    </comment>
    <comment ref="P62" authorId="1" shapeId="0" xr:uid="{554619E9-F09B-4ABB-B02F-D754614DE050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223 DEL 20230313 $66.000.000
MM 1423 DEL 20230428 $22.000.000</t>
        </r>
      </text>
    </comment>
    <comment ref="P64" authorId="0" shapeId="0" xr:uid="{A534C7F3-2955-4769-B1A9-63777F11FB7B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3023 13/07/2023 $90.000.000
MM 4123 14/09/2023 $53.578.794</t>
        </r>
      </text>
    </comment>
    <comment ref="Q64" authorId="0" shapeId="0" xr:uid="{85976056-4E95-4675-BD5B-D3C17A34622F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5523 DEL 20231013 $90.000.000</t>
        </r>
      </text>
    </comment>
    <comment ref="P67" authorId="1" shapeId="0" xr:uid="{11300D5B-509E-48B9-826A-857408DDE6BF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5323 DEL 20231006 $1.192.599.732</t>
        </r>
      </text>
    </comment>
    <comment ref="Q67" authorId="0" shapeId="0" xr:uid="{10A8547A-3AA8-48D7-897B-6D84B875539D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5723 DEL 20231017 $1.517.326.511
MM 6423 DEL 09/11/2023 $141.288.721</t>
        </r>
      </text>
    </comment>
    <comment ref="P68" authorId="1" shapeId="0" xr:uid="{D6F9234B-5079-4E28-A6C3-082E39167AAE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5423 DEL 20231013 $150.000.000</t>
        </r>
      </text>
    </comment>
    <comment ref="Q68" authorId="0" shapeId="0" xr:uid="{1D646AE9-9C8C-4057-90A8-F1A93DA42EB9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2123 05/06/2023 $110.000.000
MM 5623 DEL 20231013 $150.000.000</t>
        </r>
      </text>
    </comment>
    <comment ref="P69" authorId="1" shapeId="0" xr:uid="{11D6A2E8-F722-470E-8219-97B227EDA46C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5023 29/09/2023 $24.886.650</t>
        </r>
      </text>
    </comment>
    <comment ref="Q69" authorId="0" shapeId="0" xr:uid="{4F86AC41-9F09-4EC0-A76C-57A12DE63EC2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7023 DEL 22/11/2023 $100.000.000</t>
        </r>
      </text>
    </comment>
    <comment ref="P72" authorId="0" shapeId="0" xr:uid="{B295230E-ACFE-4157-B60C-5F57C5B93814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3923 08/09/2023 $15.690.970</t>
        </r>
      </text>
    </comment>
    <comment ref="P73" authorId="0" shapeId="0" xr:uid="{F23961FE-A16A-449E-B081-84F15505578E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MM 2723 DEL 20230626 $35.000.000
MM 3323 DEL 20230802 $13.000.000
MM 3923 DEL 20230908 $4.072.577
MM 4523 DEL 20230922 $77.000.000
MM 6023 DEL 20231027 $180.000.000
MM 6923 DEL 21/11/2023 $25.000.000
MM 7223 DEL 23/11/2023 $7.000.000</t>
        </r>
      </text>
    </comment>
    <comment ref="Q73" authorId="1" shapeId="0" xr:uid="{3B6D7D41-65CF-410D-9C6D-DBDC7C97FD0D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5123 DEL 20231002 $77.000.000</t>
        </r>
      </text>
    </comment>
    <comment ref="P74" authorId="0" shapeId="0" xr:uid="{0B8E8090-FC36-4990-8DE1-163AE0AD8E28}">
      <text>
        <r>
          <rPr>
            <b/>
            <sz val="9"/>
            <color indexed="81"/>
            <rFont val="Tahoma"/>
            <family val="2"/>
          </rPr>
          <t>Fabio Jan Munoz Lopez:</t>
        </r>
        <r>
          <rPr>
            <sz val="9"/>
            <color indexed="81"/>
            <rFont val="Tahoma"/>
            <family val="2"/>
          </rPr>
          <t xml:space="preserve">
MM 2323 16/06/2023 $33.000.000</t>
        </r>
      </text>
    </comment>
    <comment ref="Q74" authorId="0" shapeId="0" xr:uid="{F169A427-A6DD-4D37-86FC-511C15EE43DE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4923 28/09/2023 $33.000.000</t>
        </r>
      </text>
    </comment>
    <comment ref="Q75" authorId="0" shapeId="0" xr:uid="{D29E261B-A82D-4F5E-BB98-FBF168847E1E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4923 28/09/2023 $37.477</t>
        </r>
      </text>
    </comment>
    <comment ref="Q76" authorId="0" shapeId="0" xr:uid="{0931B9FD-D695-43B0-B870-879B10C74B66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5823 DEL 20231017 $100.000.000
MM 6923 DEL 21/11/2023 $15.717.277
MM 7223 DEL 23/11/2023 $121.750.000</t>
        </r>
      </text>
    </comment>
    <comment ref="P78" authorId="1" shapeId="0" xr:uid="{1E257299-2744-4355-A676-F4D05A9CE5A6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4923 28/09/2023 $201.600.054
MM 8023 DEL 21/12/2023 $250.000</t>
        </r>
      </text>
    </comment>
    <comment ref="P79" authorId="1" shapeId="0" xr:uid="{7164DAE4-6320-45AF-AB73-5FD8CA4C84DF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6623 DEL 10/11/2023 $3.300.000
MM 7223 DEL 23/11/2023 $1.750.000</t>
        </r>
      </text>
    </comment>
    <comment ref="Q79" authorId="0" shapeId="0" xr:uid="{DAAEABAB-181E-4663-A726-831E50672808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2323 16/06/2023 $249.607.469.44
MM 4923 28/09/2023 $214.062.577
MM 5523 DEL 20231013 $154.769.279</t>
        </r>
      </text>
    </comment>
    <comment ref="Q81" authorId="0" shapeId="0" xr:uid="{68979A0A-6FA2-42FE-A039-C781C22877B1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6823 DEL 21/11/2023 $16.291.500</t>
        </r>
      </text>
    </comment>
    <comment ref="P82" authorId="1" shapeId="0" xr:uid="{E519DE03-23F3-4E6A-BC27-2587F8D67FF2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1323 DEL 20230427 $1.062.000.000
MM 2323 16/06/2023 $253.333.318
MM 4223 15/09/2023 $300.000.000
MM 6123 03/11/2023 $55.000.000</t>
        </r>
      </text>
    </comment>
    <comment ref="Q82" authorId="1" shapeId="0" xr:uid="{0A03182B-6426-4D95-BBDC-87B9EF4550AC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123 DEL 20230103 $3.170.048.097
MM 3223 27/07/2023 $5.000.000
MM 5523 DEL 20231013 $294.000.000
MM 6023 DEL 20231027 $350.000.000
MM 7523 DEL 29/11/2023 $90.133.333</t>
        </r>
      </text>
    </comment>
    <comment ref="Q83" authorId="0" shapeId="0" xr:uid="{68A8C66E-A07F-4FEA-A026-D428113AE5B7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2323 DEL 20230616 $ 200.000.000
MM 5323 DEL 20231006 $992.130
MM 5523 DEL 20231013 $10.722.948
MM 5823 DEL 20231017 $200.000.000
MM 5923 DEL 20231019 $500.000.000
MM 6523 DEL 10/11/2023 $12.788.879,56
MM 6923 DEL 21/11/2023 $250.000.000</t>
        </r>
      </text>
    </comment>
    <comment ref="P84" authorId="1" shapeId="0" xr:uid="{B13DCB2E-7B4C-4567-838C-913E0ED45A00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423 DEL 20230317 $5.088.644
MM 723 DEL 20230328 $10.000.000
MM 923 DEL 20230330 $2.617.440
MM 1223 DEL 20230427 $133.407.037
MM 3723 DEL 20230817 $357.419.390
MM 4023 DEL 20230908 $83.205.000
MM 5823 DEL 20231017 $299.000.000
MM 5923 DEL 20231019 $500.000.000
MM 7823 DEL 12/12/2023 $69.007.613</t>
        </r>
      </text>
    </comment>
    <comment ref="Q84" authorId="1" shapeId="0" xr:uid="{21963D1B-54A2-4C16-ADF0-8D51A92D6749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223 DEL 20230313 $110.000.000
MM 1423 DEL 20230428 $55.000.000
MM 2123  DEL 05/06/2023 $5.000.000
MM 2323 DEL 16/06/2023 $116.725.848.56
MM 3623 DEL 17/08/2023 $6.471.727
MM 5023 DEL 29/09/2023 $24.886,650
MM 5323 DEL 20231006 $6.027.045
MM 5523 DEL 20231013 $136.148.747
MM 6223 DEL 03/11/2023 $100.000.000
MM 6323 DEL 07/11/2023 $30.000.000
MM 6623 DEL 10/11/2023 $3.300.000
MM 7623 DEL 04/12/2023 $768.514.580,74
MM 7723 DEL 11/12/2023 $319.400.761</t>
        </r>
      </text>
    </comment>
    <comment ref="P85" authorId="1" shapeId="0" xr:uid="{9B50208E-9CBB-4171-857D-B8A591782E31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823 DEL 20230329 $14.252.908
MM 2323 DEL 16/06/2023 $50.000.000
MM 3623 DEL 17/08/2023 $6.471.727
MM 4923 DEL 28/09/2023 $50.000.000
MM 6323 DEL 07/11/2023 $30.000.000</t>
        </r>
      </text>
    </comment>
    <comment ref="Q85" authorId="1" shapeId="0" xr:uid="{BACBF171-E9F9-4461-9DC8-6292B8773BB5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523 DEL 20230317 $274.748.465
MM 5323 DEL 20231006 $126.944.874
MM 5823 DEL 20231017 $85.352.370
MM 6523 DEL 10/11/2023 $14.252.908,44</t>
        </r>
      </text>
    </comment>
    <comment ref="P86" authorId="1" shapeId="0" xr:uid="{DF471E4F-A498-4F4E-90AA-6A0B4187FE98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7223 DEL 23/11/2023 $60.000.000</t>
        </r>
      </text>
    </comment>
    <comment ref="Q86" authorId="0" shapeId="0" xr:uid="{225965B5-0DA7-46A3-822E-2014CC0592DE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6123 DEL 03/11/2023 $170.000.000</t>
        </r>
      </text>
    </comment>
    <comment ref="P88" authorId="0" shapeId="0" xr:uid="{786436A6-1FBF-4E73-A783-C846210403F2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6123 DEL 03/11/2023 $115.000.000
MM 6223 DEL 03/11/2023 $100.000.000
MM 6823 DEL 21/11/2023 $16.291.500
MM 7023 DEL 22/11/2023 $100.000.000
MM 7123 DEL 23/11/2023 $56.962.206
MM 7523 DEL 29/11/2023 $90.133.333
MM 7623 DEL 04/12/2023 $768.514.580,74
MM 7723 DEL 11/12/2023 $319.400.761</t>
        </r>
      </text>
    </comment>
    <comment ref="Q88" authorId="1" shapeId="0" xr:uid="{1A60C1B8-6985-4B01-8348-DFBE7E5D928C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5423 DEL 20231013 $150.000.000
MM 6723 DEL 20/11/2023 $215.000.000</t>
        </r>
      </text>
    </comment>
    <comment ref="P89" authorId="0" shapeId="0" xr:uid="{F6DEC6BC-7A90-4E26-A1B6-139755121A94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7423 DEL 28/11/2023 $5.526.141</t>
        </r>
      </text>
    </comment>
    <comment ref="P90" authorId="0" shapeId="0" xr:uid="{C5378775-C7A5-4CD9-916F-2D0EAC74B25A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3223 DEL 27/07/2023 $5.000.000</t>
        </r>
      </text>
    </comment>
    <comment ref="P91" authorId="1" shapeId="0" xr:uid="{2C2EFAB2-BB14-4018-BFB2-51319CE6F950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6723 DEL 20/11/2023 $215.000.000
MM 6923 DEL 21/11/2023 $150.717.277</t>
        </r>
      </text>
    </comment>
    <comment ref="Q91" authorId="0" shapeId="0" xr:uid="{740A7519-4608-4AC9-99D7-22360AB5E5FD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4123 14/09/2023 $53.578.794</t>
        </r>
      </text>
    </comment>
    <comment ref="P92" authorId="1" shapeId="0" xr:uid="{1AD0C3D0-23E5-4751-AF77-66ED82439489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123 DEL 20230103 $3.170.048.097
MM 2323 DEL 20230616 $50.000000
MM 5123 DEL 20231002 $77.000.000</t>
        </r>
      </text>
    </comment>
    <comment ref="Q92" authorId="1" shapeId="0" xr:uid="{1C6D016A-BE8C-4EA6-93CB-16409F4C97F9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723 DEL 20230328 $10.000.000
MM 923 DEL 20230330 $2.617.440
MM 1223 DEL 20230427 $133.407.037
MM 1323 DEL 20230427 $1.062.000.000
MM 2723 DEL 26/06/2023 $35.000.000
MM 3323 02/08/2023 $13.000.000
MM 3723 17/08/2023 $357.419.390
MM 3923 08/09/2023 $19.763.547
MM 4023 08/09/2023 $83.205.000
MM 4223 15/09/2023 $300.000.000
MM 4523 22/09/2023 $77.000.000
MM 5223 DEL 20231004 $95.000.000
MM 5323 DEL 20231006 $1.058.635.683
MM 7823 DEL 12/12/2023 $69.007.613</t>
        </r>
      </text>
    </comment>
    <comment ref="P93" authorId="1" shapeId="0" xr:uid="{48416876-8F01-45AC-8E8A-29740AF5D5EE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5223 DEL 20231004 $95.000.000
MM 6023 DEL 20231027 $170.000.000
MM 6923 DEL 21/11/2023 $90.000.000
MM 7223 DEL 23/11/2023 $53.000.000</t>
        </r>
      </text>
    </comment>
    <comment ref="Q105" authorId="1" shapeId="0" xr:uid="{ECE8EF1B-7290-40D5-A310-EB13928B7E54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323 DEL 20230317 $55.158.452</t>
        </r>
      </text>
    </comment>
    <comment ref="P106" authorId="1" shapeId="0" xr:uid="{253AEA5E-7106-4BF0-AFAE-3043B7F574DC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323 DEL 20230317 $55.158.452</t>
        </r>
      </text>
    </comment>
    <comment ref="P110" authorId="0" shapeId="0" xr:uid="{F0DBDCD8-64E1-478B-83E7-8855E415231F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2223 14/06/2023 $2.000.000</t>
        </r>
      </text>
    </comment>
    <comment ref="Q110" authorId="2" shapeId="0" xr:uid="{CC993E62-3DEE-481E-BF76-BCB23E355ABF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 01204 DEL 20230620 $12.000.000</t>
        </r>
      </text>
    </comment>
    <comment ref="Q111" authorId="0" shapeId="0" xr:uid="{3CD5FE17-938B-4542-91B9-AD8A3AFC7265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2223 14/06/2023 $2.000.000</t>
        </r>
      </text>
    </comment>
    <comment ref="Q112" authorId="2" shapeId="0" xr:uid="{BB97DEEE-2B36-4B66-8065-0D71E5199E08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 01204 DEL 20230620 $4.406.400
</t>
        </r>
      </text>
    </comment>
    <comment ref="P116" authorId="2" shapeId="0" xr:uid="{7EEADF86-2F65-4C13-B806-7608B71F4D9A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 01204 DEL 20230620 $3.306.400</t>
        </r>
      </text>
    </comment>
    <comment ref="P117" authorId="2" shapeId="0" xr:uid="{5B8651BF-1BD2-4AE1-B10C-79309D5FC247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 01204 DEL 20230620 $13.100.000
</t>
        </r>
      </text>
    </comment>
    <comment ref="P127" authorId="1" shapeId="0" xr:uid="{F50F3701-B65C-438D-AD2F-F923AA13B1B5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623 DEL 20230317 $12.244.730.829,40
MM 1023 DEL 20230331 $21.680.000.000
MM 2523 21/06/2023 $6.385.939.073</t>
        </r>
      </text>
    </comment>
    <comment ref="Q127" authorId="0" shapeId="0" xr:uid="{C99342F7-A41A-4A73-B182-9B972A11D412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2423 21/06/2023 $7.032..000.000
MM 2923 06/07/2023 $2.055..088.352
RES.02469 DEL 20231129 $2.300.000.000</t>
        </r>
      </text>
    </comment>
    <comment ref="P128" authorId="0" shapeId="0" xr:uid="{9285B8FE-F8D6-4FB5-A311-EB5D8474CC06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2423 21/06/2023 $7.032..000.000
MM 2923 06/07/2023 $2.055..088.352</t>
        </r>
      </text>
    </comment>
    <comment ref="Q128" authorId="1" shapeId="0" xr:uid="{45FAD9AC-FDC0-4AEE-A1B4-E03660EEA68C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623 DEL 20230317 $12.244.730.829,40
MM 1023 DEL 20230331 $21.680.000.000</t>
        </r>
      </text>
    </comment>
    <comment ref="N129" authorId="2" shapeId="0" xr:uid="{55AC20D0-54EA-48B3-84A0-BA2A6FC6019A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RES.2016 DEL 20230810 $3.345.674.651.597</t>
        </r>
      </text>
    </comment>
    <comment ref="Q129" authorId="1" shapeId="0" xr:uid="{31E35EC7-1AB4-464E-B53A-24E914408C29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RES.02470 DEL 20231129 $49.000.000.000</t>
        </r>
      </text>
    </comment>
    <comment ref="Q131" authorId="0" shapeId="0" xr:uid="{E8374C3D-3954-49F8-9EF6-2E0AA645F380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2523 21/06/2023 $6.385.939.073</t>
        </r>
      </text>
    </comment>
    <comment ref="Q136" authorId="2" shapeId="0" xr:uid="{71C8E38F-48C8-47AE-9DAB-9850EC7DD269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RES.01677 DEL 20230802 $2.499.272.354</t>
        </r>
      </text>
    </comment>
    <comment ref="Q138" authorId="2" shapeId="0" xr:uid="{01977E35-401D-43EC-A22F-0217708C1A6F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RES.01677 DEL 20230802 $1.801.727.058</t>
        </r>
      </text>
    </comment>
    <comment ref="P140" authorId="1" shapeId="0" xr:uid="{F606D748-00BB-4EC2-B2FA-E14E22DC7BCF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1123 DEL 20230414 $300.000.000</t>
        </r>
      </text>
    </comment>
    <comment ref="Q140" authorId="2" shapeId="0" xr:uid="{C669B28A-EB05-4926-B808-078C8160E48E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RES.01677 DEL 20230802 $66.055.532</t>
        </r>
      </text>
    </comment>
    <comment ref="Q142" authorId="1" shapeId="0" xr:uid="{17A6D450-A830-4D28-9B35-465F4B9EAFF6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1123 DEL 20230414 $300.000.000
RES.01677 DEL 20230802 $24.723.307.193</t>
        </r>
      </text>
    </comment>
    <comment ref="Q146" authorId="0" shapeId="0" xr:uid="{7E32D52D-4241-4089-BE56-1A7EE63FCE08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3123 DEL 20230719 $2.004.524.145
RES.01834 DEL 20230825 $56.647.834.029</t>
        </r>
      </text>
    </comment>
    <comment ref="P148" authorId="0" shapeId="0" xr:uid="{DEE976C8-6FF0-44FE-9650-E322DF0FA79A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MM 3123 19/07/2023 $2.004.524.145</t>
        </r>
      </text>
    </comment>
    <comment ref="Q158" authorId="0" shapeId="0" xr:uid="{755116A0-52FA-4B84-AED8-7787AEE01232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RES.02195 DEL 20231020  $6.127.461.358</t>
        </r>
      </text>
    </comment>
    <comment ref="P173" authorId="1" shapeId="0" xr:uid="{6966C9A3-1789-40E9-A4F6-65C9C4F3FD01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1523 DEL 20230502 $1.186.130.026
MM 1723 DEL 20230509 $1.186.130.026</t>
        </r>
      </text>
    </comment>
    <comment ref="Q173" authorId="1" shapeId="0" xr:uid="{BEC263BB-3E0E-452C-A00D-5EFA92E0186F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1623 DEL 20230505 $1.186.130,026
RES. 02141  DEL 20231013 $107.660.000
MM 7923 DEL 14/12/2023 $19.266.775.234</t>
        </r>
      </text>
    </comment>
    <comment ref="P174" authorId="1" shapeId="0" xr:uid="{27977121-94CB-4A75-938C-78A17B90361D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1623 DEL 20230505 $1.186.130.026
MM 7923 DEL 14/12/2023 $19.266.77 5.234
RES.02470 DEL 20231129 $49.000.000.000</t>
        </r>
      </text>
    </comment>
    <comment ref="Q174" authorId="1" shapeId="0" xr:uid="{E18ACA67-9E05-44C9-B8FE-E678EB336C5B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1523 DEL 20230502 $1.186.130.026
MM 1723 DEL 20230509 $1.186.130.026</t>
        </r>
      </text>
    </comment>
    <comment ref="P188" authorId="1" shapeId="0" xr:uid="{D03147EA-90FA-414C-B87C-EF6F8D51F07D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1923 DEL 20230509 $14.887.645.880</t>
        </r>
      </text>
    </comment>
    <comment ref="P190" authorId="1" shapeId="0" xr:uid="{8C401CAA-34C1-4279-AF4C-A439E4C3B2B9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1923 DEL 20230509 $15.512.436.655</t>
        </r>
      </text>
    </comment>
    <comment ref="P192" authorId="1" shapeId="0" xr:uid="{DD2CF519-0B8A-4AE9-8884-DAEA0A0C240E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1923 DEL 20230509 $6.493.886.506</t>
        </r>
      </text>
    </comment>
    <comment ref="P194" authorId="1" shapeId="0" xr:uid="{81327D90-5EC3-4028-808A-20722DAC6262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1923 DEL 20230509 $21.850.058.864</t>
        </r>
      </text>
    </comment>
    <comment ref="P196" authorId="1" shapeId="0" xr:uid="{93812119-DD75-4150-AB92-4025BB4B4231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1923 DEL 20230509 $2.559.683.689</t>
        </r>
      </text>
    </comment>
    <comment ref="Q196" authorId="1" shapeId="0" xr:uid="{5D9ECE78-9628-4EBC-89D2-2C2D0A4B707B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2023 DEL 20230510 $110.858.384</t>
        </r>
      </text>
    </comment>
    <comment ref="Q197" authorId="1" shapeId="0" xr:uid="{C1F4B799-B8E2-4A7C-B319-979D2E4FFC19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1923 DEL 20230509 $17.952.197.792</t>
        </r>
      </text>
    </comment>
    <comment ref="P199" authorId="1" shapeId="0" xr:uid="{999509F2-4197-4AE7-9294-A0CBD1FB699B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1923 DEL 20230509 $14.542.086.198
MM 2023 DEL 20230510 $110.858.384</t>
        </r>
      </text>
    </comment>
    <comment ref="Q200" authorId="1" shapeId="0" xr:uid="{C48E4EB9-0315-4ED2-B87C-3273C9FDB07B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1923 DEL 20230509 $57.893.600.000</t>
        </r>
      </text>
    </comment>
    <comment ref="P203" authorId="1" shapeId="0" xr:uid="{5E57E53F-4F2E-4BF6-B967-39FAB56C8316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1523 DEL 20230502 $1.085.187.279
MM 1823 DEL 20230509 $1.085.187.279</t>
        </r>
      </text>
    </comment>
    <comment ref="Q203" authorId="1" shapeId="0" xr:uid="{07BBAB7D-8EEF-4A9C-9FCE-C025CF118B5E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1623 DEL 20230505 $1.085.187.279
RES.02450 DEL 20231124 $3.826.916.560
RES.02469 DEL 20231129 $400.000.000</t>
        </r>
      </text>
    </comment>
    <comment ref="P204" authorId="1" shapeId="0" xr:uid="{023F86F4-2065-4563-B36F-8A5FD434E86D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1623 DEL 20230505 $1.085.187.279</t>
        </r>
      </text>
    </comment>
    <comment ref="Q204" authorId="1" shapeId="0" xr:uid="{F82357DC-D35B-41F2-8E32-80E62ED03239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MM 1523 DEL 20230502 $1.085.187.279
MM 1823 DEL 20230509 $1.085.187.279</t>
        </r>
      </text>
    </comment>
    <comment ref="P209" authorId="1" shapeId="0" xr:uid="{B27AD578-2693-44B3-BF7D-25B0EEE0ACF5}">
      <text>
        <r>
          <rPr>
            <b/>
            <sz val="9"/>
            <color indexed="81"/>
            <rFont val="Tahoma"/>
            <family val="2"/>
          </rPr>
          <t xml:space="preserve">GIT Presupuesto:
</t>
        </r>
        <r>
          <rPr>
            <sz val="9"/>
            <color indexed="81"/>
            <rFont val="Tahoma"/>
            <family val="2"/>
          </rPr>
          <t>RES. 02141  DEL 20231013 $107.660.000</t>
        </r>
      </text>
    </comment>
    <comment ref="P212" authorId="0" shapeId="0" xr:uid="{7A399859-4FB8-4E43-A9A0-BB5E641E8166}">
      <text>
        <r>
          <rPr>
            <b/>
            <sz val="9"/>
            <color indexed="81"/>
            <rFont val="Tahoma"/>
            <family val="2"/>
          </rPr>
          <t xml:space="preserve">GIT Presppuesto:
</t>
        </r>
        <r>
          <rPr>
            <sz val="9"/>
            <color indexed="81"/>
            <rFont val="Tahoma"/>
            <family val="2"/>
          </rPr>
          <t>RES.02195 DEL 20231020  $1.033.728.835</t>
        </r>
      </text>
    </comment>
    <comment ref="P214" authorId="0" shapeId="0" xr:uid="{8C6394CF-1ADE-43DD-BEB0-5A0081F36CD5}">
      <text>
        <r>
          <rPr>
            <b/>
            <sz val="9"/>
            <color indexed="81"/>
            <rFont val="Tahoma"/>
            <family val="2"/>
          </rPr>
          <t>Fabio Jan Munoz Lopez:</t>
        </r>
        <r>
          <rPr>
            <sz val="9"/>
            <color indexed="81"/>
            <rFont val="Tahoma"/>
            <family val="2"/>
          </rPr>
          <t xml:space="preserve">
C/C 2623 23/06/2023 $3.586.500.000
RES.02195 DEL 20231020  $5.093.732.523</t>
        </r>
      </text>
    </comment>
    <comment ref="Q215" authorId="0" shapeId="0" xr:uid="{B1523C1E-A3D8-4217-B938-F36D886D2BE1}">
      <text>
        <r>
          <rPr>
            <b/>
            <sz val="9"/>
            <color indexed="81"/>
            <rFont val="Tahoma"/>
            <family val="2"/>
          </rPr>
          <t>Fabio Jan Munoz Lopez:</t>
        </r>
        <r>
          <rPr>
            <sz val="9"/>
            <color indexed="81"/>
            <rFont val="Tahoma"/>
            <family val="2"/>
          </rPr>
          <t xml:space="preserve">
C/C 2623 23/06/2023 $3.586.500.000</t>
        </r>
      </text>
    </comment>
    <comment ref="P218" authorId="2" shapeId="0" xr:uid="{48153215-9F30-4DF2-AA6F-C5853915E230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RES.01677 DEL 20230802 $2.349.169.046</t>
        </r>
      </text>
    </comment>
    <comment ref="P220" authorId="2" shapeId="0" xr:uid="{C68B5A24-83E9-4BF9-8E34-91D8907CFBFE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RES.01677 DEL 20230802 $5.770.063.062</t>
        </r>
      </text>
    </comment>
    <comment ref="P222" authorId="2" shapeId="0" xr:uid="{AC24727A-5DFA-4B6D-B88D-1FF2B58F359B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RES.01677 DEL 20230802 $1.803.408.981</t>
        </r>
      </text>
    </comment>
    <comment ref="P224" authorId="2" shapeId="0" xr:uid="{50769F4D-F6CB-4CCE-9E68-3752DABE15CD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RES.01677 DEL 20230802 $19.167.721.,048</t>
        </r>
      </text>
    </comment>
    <comment ref="P227" authorId="2" shapeId="0" xr:uid="{631DE58E-D628-4C9B-B46C-595A4955F38E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RES.01834 DEL 20230825 $4.531.826.722</t>
        </r>
      </text>
    </comment>
    <comment ref="P228" authorId="2" shapeId="0" xr:uid="{83AF442F-DB4F-4467-98C8-FE5E3AFDD814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RES.01834 DEL 20230825 $47.584.180.585</t>
        </r>
      </text>
    </comment>
    <comment ref="P230" authorId="2" shapeId="0" xr:uid="{23CF710D-1B8B-431A-B170-BADCD9FB0C45}">
      <text>
        <r>
          <rPr>
            <b/>
            <sz val="9"/>
            <color indexed="81"/>
            <rFont val="Tahoma"/>
            <family val="2"/>
          </rPr>
          <t>GIT Presupuesto:</t>
        </r>
        <r>
          <rPr>
            <sz val="9"/>
            <color indexed="81"/>
            <rFont val="Tahoma"/>
            <family val="2"/>
          </rPr>
          <t xml:space="preserve">
RES.01834 DEL 20230825 $4.531.826.722</t>
        </r>
      </text>
    </comment>
    <comment ref="P233" authorId="2" shapeId="0" xr:uid="{813C0693-E1FD-44A8-A3BC-8A0F1AB4209C}">
      <text>
        <r>
          <rPr>
            <b/>
            <sz val="10"/>
            <color theme="1"/>
            <rFont val="Calibri"/>
            <family val="2"/>
            <scheme val="minor"/>
          </rPr>
          <t>GIT Presupuesto:</t>
        </r>
        <r>
          <rPr>
            <sz val="10"/>
            <color theme="1"/>
            <rFont val="Calibri"/>
            <family val="2"/>
            <scheme val="minor"/>
          </rPr>
          <t xml:space="preserve">
RES.02450 DEL 20231124 $3.826.916.560</t>
        </r>
      </text>
    </comment>
    <comment ref="P236" authorId="2" shapeId="0" xr:uid="{8C3EEC46-0067-4E9E-B933-EBA2C7D78145}">
      <text>
        <r>
          <rPr>
            <b/>
            <sz val="10"/>
            <color theme="1"/>
            <rFont val="Calibri"/>
            <family val="2"/>
            <scheme val="minor"/>
          </rPr>
          <t>GIT Presupuesto:</t>
        </r>
        <r>
          <rPr>
            <sz val="10"/>
            <color theme="1"/>
            <rFont val="Calibri"/>
            <family val="2"/>
            <scheme val="minor"/>
          </rPr>
          <t xml:space="preserve">
RES.02469 DEL 20231129 $2.700.000.000</t>
        </r>
      </text>
    </comment>
  </commentList>
</comments>
</file>

<file path=xl/sharedStrings.xml><?xml version="1.0" encoding="utf-8"?>
<sst xmlns="http://schemas.openxmlformats.org/spreadsheetml/2006/main" count="1803" uniqueCount="303">
  <si>
    <t>DEPARTAMENTO ADMINISTRATIVO PARA LA PROSPERIDAD SOCIAL</t>
  </si>
  <si>
    <t>EJECUCIÓN PRESUPUESTAL VIGENCIA 2023 AL 31 DE DICIEMBRE 2023</t>
  </si>
  <si>
    <t>RUBRO</t>
  </si>
  <si>
    <t>REC.</t>
  </si>
  <si>
    <t>SIT.</t>
  </si>
  <si>
    <t>CONCEPTO</t>
  </si>
  <si>
    <t>APROPIACION
INICIAL</t>
  </si>
  <si>
    <t>MODIFICACIONES</t>
  </si>
  <si>
    <t>TRASLADOS</t>
  </si>
  <si>
    <t>APROPIACIÓN BLOQUEADA</t>
  </si>
  <si>
    <t>APROPIACION
DEFINITIVA</t>
  </si>
  <si>
    <t>COMPROMISOS</t>
  </si>
  <si>
    <t>OBLIGACIONES</t>
  </si>
  <si>
    <t>PAGOS</t>
  </si>
  <si>
    <t>TIPO</t>
  </si>
  <si>
    <t>CTA</t>
  </si>
  <si>
    <t>SUBC</t>
  </si>
  <si>
    <t>OBJG</t>
  </si>
  <si>
    <t>ORD</t>
  </si>
  <si>
    <t>SORD</t>
  </si>
  <si>
    <t>ITEM</t>
  </si>
  <si>
    <t>SIT</t>
  </si>
  <si>
    <t>Adiciones</t>
  </si>
  <si>
    <t>Reducciones</t>
  </si>
  <si>
    <t>Créditos</t>
  </si>
  <si>
    <t>Contracreditos</t>
  </si>
  <si>
    <t>ACUMULADO</t>
  </si>
  <si>
    <t>SALDO APROPIACION POR COMPROMETER</t>
  </si>
  <si>
    <t>% EJEC  RP</t>
  </si>
  <si>
    <t>% OBLIG</t>
  </si>
  <si>
    <t>% EJEC PAGOS</t>
  </si>
  <si>
    <t>A</t>
  </si>
  <si>
    <t xml:space="preserve">FUNCIONAMIENTO </t>
  </si>
  <si>
    <t>01</t>
  </si>
  <si>
    <t>GASTOS DE PERSONAL</t>
  </si>
  <si>
    <t>PLANTA DE PERSONAL PERMANENTE</t>
  </si>
  <si>
    <t>10</t>
  </si>
  <si>
    <t>CSF</t>
  </si>
  <si>
    <t>SALARIO</t>
  </si>
  <si>
    <t>001</t>
  </si>
  <si>
    <t>FACTORES SALARIALES COMUNES</t>
  </si>
  <si>
    <t>SUELDO BÁSICO</t>
  </si>
  <si>
    <t>002</t>
  </si>
  <si>
    <t>GASTOS DE REPRESENTACIÓN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</si>
  <si>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</si>
  <si>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</si>
  <si>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</si>
  <si>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</si>
  <si>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</si>
  <si>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</si>
  <si>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</si>
  <si>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</si>
  <si>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</si>
  <si>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</si>
  <si>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</si>
  <si>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</si>
  <si>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</si>
  <si>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</si>
  <si>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</si>
  <si>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</si>
  <si>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02</t>
  </si>
  <si>
    <t>CONTRIBUCIONES INHERENTES A LA NÓMINA</t>
  </si>
  <si>
    <t>APORTES A LA SEGURIDAD SOCIAL EN PENSIONES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</si>
  <si>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</si>
  <si>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</si>
  <si>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</si>
  <si>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</si>
  <si>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</si>
  <si>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</si>
  <si>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</si>
  <si>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</si>
  <si>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03</t>
  </si>
  <si>
    <t>REMUNERACIONES NO CONSTITUTIVAS DE FACTOR SALARIAL</t>
  </si>
  <si>
    <t>PRESTACIONES SOCIALES SEGÚN DEFINICIÓN LEGAL</t>
  </si>
  <si>
    <t>VACACIONES</t>
  </si>
  <si>
    <t>INDEMNIZACIÓN POR VACACIONES</t>
  </si>
  <si>
    <t>BONIFICACIÓN ESPECIAL DE RECREACIÓN</t>
  </si>
  <si>
    <t>PRIMA TÉCNICA NO SALARIAL</t>
  </si>
  <si>
    <t>PRIMA DE RIESGO</t>
  </si>
  <si>
    <t>PRIMA DE DIRECCIÓN</t>
  </si>
  <si>
    <t>013</t>
  </si>
  <si>
    <t>ESTÍMULOS A LOS EMPLEADOS DEL ESTADO</t>
  </si>
  <si>
    <t>016</t>
  </si>
  <si>
    <t>PRIMA DE COORDINACIÓN</t>
  </si>
  <si>
    <t>030</t>
  </si>
  <si>
    <t>BONIFICACIÓN DE DIRECCIÓN</t>
  </si>
  <si>
    <t>ADQUISICIÓN DE BIENES Y SERVICIOS</t>
  </si>
  <si>
    <t>ADQUISICIÓN DE ACTIVOS NO FINANCIEROS</t>
  </si>
  <si>
    <t>ACTIVOS FIJOS</t>
  </si>
  <si>
    <t>MAQUINARIA Y EQUIPO</t>
  </si>
  <si>
    <t>MAQUINARIA DE OFICINA, CONTABILIDAD E INFORMÁTICA</t>
  </si>
  <si>
    <t>MAQUINARIA Y APARATOS ELÉCTRICOS</t>
  </si>
  <si>
    <t>EQUIPO Y APARATOS DE RADIO, TELEVISIÓN Y COMUNICACIONES</t>
  </si>
  <si>
    <t>APARATOS MÉDICOS, INSTRUMENTOS ÓPTICOS Y DE PRECISIÓN, RELOJES</t>
  </si>
  <si>
    <t>ADQUISICIONES DIFERENTES DE ACTIVOS</t>
  </si>
  <si>
    <t>MATERIALES Y SUMINISTROS</t>
  </si>
  <si>
    <t>MINERALES; ELECTRICIDAD, GAS Y AGUA</t>
  </si>
  <si>
    <t>PIEDRA, ARENA Y ARCILLA</t>
  </si>
  <si>
    <t>ELECTRICIDAD, GAS DE CIUDAD, VAPOR Y AGUA CALIENTE</t>
  </si>
  <si>
    <t>PRODUCTOS ALIMENTICIOS, BEBIDAS Y TABACO; TEXTILES, PRENDAS DE VESTIR Y PRODUCTOS DE CUERO</t>
  </si>
  <si>
    <t>PRODUCTOS DE MOLINERÍA, ALMIDONES Y PRODUCTOS DERIVADOS DEL ALMIDÓN; OTROS PRODUCTOS ALIMENTICIOS</t>
  </si>
  <si>
    <t>DOTACIÓN (PRENDAS DE VESTIR Y CALZADO)</t>
  </si>
  <si>
    <t>OTROS BIENES TRANSPORTABLES (EXCEPTO PRODUCTOS METÁLICOS, MAQUINARIA Y EQUIPO)</t>
  </si>
  <si>
    <t>PASTA O PULPA, PAPEL Y PRODUCTOS DE PAPEL; IMPRESOS Y ARTÍCULOS RELACIONADOS</t>
  </si>
  <si>
    <t>PRODUCTOS DE HORNOS DE COQUE; PRODUCTOS DE REFINACIÓN DE PETRÓLEO Y COMBUSTIBLE NUCLEAR</t>
  </si>
  <si>
    <t>OTROS PRODUCTOS QUÍMICOS; FIBRAS ARTIFICIALES (O FIBRAS INDUSTRIALES HECHAS POR EL HOMBRE)</t>
  </si>
  <si>
    <t>PRODUCTOS DE CAUCHO Y PLÁSTICO</t>
  </si>
  <si>
    <t>OTROS BIENES TRANSPORTABLES N.C.P.</t>
  </si>
  <si>
    <t>PRODUCTOS METÁLICOS Y PAQUETES DE SOFTWARE</t>
  </si>
  <si>
    <t>PRODUCTOS METÁLICOS ELABORADOS (EXCEPTO MAQUINARIA Y EQUIPO)</t>
  </si>
  <si>
    <t>ADQUISICIÓN DE SERVICIOS</t>
  </si>
  <si>
    <t>SERVICIOS DE ALOJAMIENTO; SERVICIOS DE SUMINISTRO DE COMIDAS Y BEBIDAS; SERVICIOS DE TRANSPORTE; Y SERVICIOS DE DISTRIBUCIÓN DE ELECTRICIDAD, GAS Y AGUA</t>
  </si>
  <si>
    <t>ALOJAMIENTO; SERVICIOS DE SUMINISTROS DE COMIDAS Y BEBIDAS</t>
  </si>
  <si>
    <t>SERVICIOS DE TRANSPORTE DE PASAJEROS</t>
  </si>
  <si>
    <t>SERVICIOS DE TRANSPORTE DE CARGA</t>
  </si>
  <si>
    <t>SERVICIOS POSTALES Y DE MENSAJERÍA</t>
  </si>
  <si>
    <t>SERVICIOS DE DISTRIBUCIÓN DE ELECTRICIDAD, GAS Y AGUA (POR CUENTA PROPIA)</t>
  </si>
  <si>
    <t>SERVICIOS FINANCIEROS Y SERVICIOS CONEXOS, SERVICIOS INMOBILIARIOS Y SERVICIOS DE LEASING</t>
  </si>
  <si>
    <t>SERVICIOS FINANCIEROS Y SERVICIOS CONEXOS</t>
  </si>
  <si>
    <t>SERVICIOS INMOBILIARIOS</t>
  </si>
  <si>
    <t>SERVICIOS PRESTADOS A LAS EMPRESAS Y SERVICIOS DE PRODUCCIÓN</t>
  </si>
  <si>
    <t>SERVICIOS JURÍDICOS Y CONTABLES</t>
  </si>
  <si>
    <t>OTROS SERVICIOS PROFESIONALES, CIENTÍFICOS Y TÉCNICOS</t>
  </si>
  <si>
    <t>SERVICIOS DE TELECOMUNICACIONES, TRANSMISIÓN Y SUMINISTRO DE INFORMACIÓN</t>
  </si>
  <si>
    <t>SERVICIOS DE SOPORTE</t>
  </si>
  <si>
    <t>SERVICIOS DE MANTENIMIENTO, REPARACIÓN E INSTALACIÓN (EXCEPTO SERVICIOS DE CONSTRUCCIÓN)</t>
  </si>
  <si>
    <t>OTROS SERVICIOS DE FABRICACIÓN; SERVICIOS DE EDICIÓN, IMPRESIÓN Y REPRODUCCIÓN; SERVICIOS DE RECUPERACIÓN DE MATERIALES</t>
  </si>
  <si>
    <t>SERVICIOS PARA LA COMUNIDAD, SOCIALES Y PERSONALES</t>
  </si>
  <si>
    <t>SERVICIOS DE EDUCACIÓN</t>
  </si>
  <si>
    <t>SERVICIOS PARA EL CUIDADO DE LA SALUD HUMANA Y SERVICIOS SOCIALES</t>
  </si>
  <si>
    <t>SERVICIOS DE ALCANTARILLADO, RECOLECCIÓN, TRATAMIENTO Y DISPOSICIÓN DE DESECHOS Y OTROS SERVICIOS DE SANEAMIENTO AMBIENTAL</t>
  </si>
  <si>
    <t>SERVICIOS DE ESPARCIMIENTO, CULTURALES Y DEPORTIVOS</t>
  </si>
  <si>
    <t>OTROS SERVICIOS</t>
  </si>
  <si>
    <t>VIÁTICOS DE LOS FUNCIONARIOS EN COMISIÓN</t>
  </si>
  <si>
    <t>TRANSFERENCIAS CORRIENTES</t>
  </si>
  <si>
    <t>A ENTIDADES DEL GOBIERNO</t>
  </si>
  <si>
    <t>A ORGANOS DEL PGN</t>
  </si>
  <si>
    <t>999</t>
  </si>
  <si>
    <t>OTRAS TRANSFERENCIAS - DISTRIBUCIÓN PREVIO CONCEPTO DGPPN</t>
  </si>
  <si>
    <t>04</t>
  </si>
  <si>
    <t>PRESTACIONES PARA CUBRIR RIESGOS SOCIALES</t>
  </si>
  <si>
    <t>PRESTACIONES SOCIALES RELACIONADAS CON EL EMPLEO</t>
  </si>
  <si>
    <t>012</t>
  </si>
  <si>
    <t>INCAPACIDADES Y LICENCIAS DE MATERNIDAD Y PATERNIDAD (NO DE PENSIONES)</t>
  </si>
  <si>
    <t>INCAPACIDADES (NO DE PENSIONES)</t>
  </si>
  <si>
    <t>LICENCIAS DE MATERNIDAD Y PATERNIDAD (NO DE PENSIONES)</t>
  </si>
  <si>
    <t>SENTENCIAS Y CONCILIACIONES</t>
  </si>
  <si>
    <t>FALLOS NACIONALES</t>
  </si>
  <si>
    <t>SENTENCIAS</t>
  </si>
  <si>
    <t>CONCILIACIONES</t>
  </si>
  <si>
    <t>08</t>
  </si>
  <si>
    <t>GASTOS POR TRIBUTOS, MULTAS, SANCIONES E INTERESES DE MORA</t>
  </si>
  <si>
    <t>IMPUESTOS</t>
  </si>
  <si>
    <t>IMPUESTOS TERRITORIALES</t>
  </si>
  <si>
    <t>IMPUESTO PREDIAL Y SOBRETASA AMBIENTAL</t>
  </si>
  <si>
    <t>IMPUESTO DE ALUMBRADO PÚBLICO</t>
  </si>
  <si>
    <t>IMPUESTO SOBRE VEHÍCULOS AUTOMOTORES</t>
  </si>
  <si>
    <t>CONTRIBUCIONES</t>
  </si>
  <si>
    <t>11</t>
  </si>
  <si>
    <t>SSF</t>
  </si>
  <si>
    <t>CUOTA DE FISCALIZACIÓN Y AUDITAJE</t>
  </si>
  <si>
    <t>05</t>
  </si>
  <si>
    <t>MULTAS, SANCIONES E INTERESES DE MORA</t>
  </si>
  <si>
    <t>SANCIONES ADMINISTRATIVAS</t>
  </si>
  <si>
    <t>IMPUESTOS, CONTRIBUCIONES Y TASAS</t>
  </si>
  <si>
    <t>B</t>
  </si>
  <si>
    <t>SERVICIO DE LA DEUDA PÚBLICA</t>
  </si>
  <si>
    <t>SERVICIO DE LA DEUDA PÚBLICA INTERNA</t>
  </si>
  <si>
    <t>FONDO DE CONTINGENCIAS</t>
  </si>
  <si>
    <t>APORTES AL FONDO DE CONTINGENCIAS</t>
  </si>
  <si>
    <t>C</t>
  </si>
  <si>
    <t>INVERSIÓN</t>
  </si>
  <si>
    <t>INCLUSIÓN SOCIAL Y PRODUCTIVA PARA LA POBLACIÓN EN SITUACIÓN DE VULNERABILIDAD</t>
  </si>
  <si>
    <t>INTERSUBSECTORIAL DESARROLLO SOCIAL</t>
  </si>
  <si>
    <t>4103</t>
  </si>
  <si>
    <t>1500</t>
  </si>
  <si>
    <t>12</t>
  </si>
  <si>
    <r>
      <t xml:space="preserve">IMPLEMENTACIÓN DE </t>
    </r>
    <r>
      <rPr>
        <b/>
        <sz val="10"/>
        <color rgb="FFFF0000"/>
        <rFont val="Helvética Light"/>
      </rPr>
      <t>TRANSFERENCIAS MONETARIAS CONDICIONADAS</t>
    </r>
    <r>
      <rPr>
        <b/>
        <sz val="10"/>
        <rFont val="Helvética Light"/>
      </rPr>
      <t xml:space="preserve"> PARA POBLACIÓN VULNERABLE A NIVEL NACIONAL-FIP NACIONAL</t>
    </r>
  </si>
  <si>
    <t>0</t>
  </si>
  <si>
    <t>4103006</t>
  </si>
  <si>
    <t>SERVICIO DE APOYO FINANCIERO PARA LA ENTREGA DE TRANSFERENCIAS MONETARIAS CONDICIONADAS</t>
  </si>
  <si>
    <t>SERVICIO DE ASISTENCIA EN TEMAS DE DESARROLLO DE HABILIDADES NO COGNITIVAS PARA LA INCLUSIÓN PRODUCTIVA</t>
  </si>
  <si>
    <t>SERVICIO DE ASISTENCIA TÉCNICA EN EL COMPONENTE DE BIENESTAR COMUNITARIO</t>
  </si>
  <si>
    <t>13</t>
  </si>
  <si>
    <r>
      <t>IMPLEMENTACIÓN DE UNIDADES PRODUCTIVAS DE AUTOCONSUMO PARA POBLACIÓN POBRE Y VULNERABLE NACIONAL-</t>
    </r>
    <r>
      <rPr>
        <b/>
        <sz val="10"/>
        <color rgb="FFFF0000"/>
        <rFont val="Helvética Light"/>
      </rPr>
      <t>RESA</t>
    </r>
  </si>
  <si>
    <t>4103051</t>
  </si>
  <si>
    <t>SERVICIO DE ASISTENCIA TÉCNICA PARA EL AUTOCONSUMO DE LOS HOGARES EN SITUACIÓN DE VULNERABILIDAD SOCIAL</t>
  </si>
  <si>
    <t>4103053</t>
  </si>
  <si>
    <t>SERVICIO DE ASISTENCIA TÉCNICA PARA EL MEJORAMIENTO DE HÁBITOS ALIMENTARIOS</t>
  </si>
  <si>
    <t>4103054</t>
  </si>
  <si>
    <t>SERVICIO DE MONITOREO Y SEGUIMIENTO A LAS INTERVENCIONES IMPLEMENTADAS PARA LA INCLUSIÓN SOCIAL Y PRODUCTIVA DE LA POBLACIÓN EN SITUACIÓN DE VULNERABILIDAD</t>
  </si>
  <si>
    <t>4103055</t>
  </si>
  <si>
    <t>SERVICIO DE APOYO PARA LAS UNIDADES PRODUCTIVAS PARA EL AUTOCONSUMO DE LOS HOGARES EN SITUACIÓN DE VULNERABILIDAD SOCIAL</t>
  </si>
  <si>
    <t>14</t>
  </si>
  <si>
    <r>
      <t xml:space="preserve">FORTALECIMIENTO PARA EL DESARROLLO DE </t>
    </r>
    <r>
      <rPr>
        <b/>
        <sz val="10"/>
        <color rgb="FFFF0000"/>
        <rFont val="Helvética Light"/>
      </rPr>
      <t>INFRAESTRUCTURA SOCIAL Y HÁBITAT</t>
    </r>
    <r>
      <rPr>
        <b/>
        <sz val="10"/>
        <rFont val="Helvética Light"/>
      </rPr>
      <t xml:space="preserve"> PARA LA INCLUSIÓN SOCIAL A NIVEL NACIONAL-FIP NACIONAL</t>
    </r>
  </si>
  <si>
    <t>4103016</t>
  </si>
  <si>
    <t>SERVICIO DE APOYO FINANCIERO PARA FINANCIACIÓN DE OBRAS DE INFRAESTRUCTURA SOCIAL</t>
  </si>
  <si>
    <t>4103048</t>
  </si>
  <si>
    <t>SERVICIO DE ASISTENCIA TÉCNICA EN PROYECTOS DE INFRAESTRUCTURA SOCIAL A ENTIDADES TERRITORIALES</t>
  </si>
  <si>
    <t>16</t>
  </si>
  <si>
    <r>
      <t xml:space="preserve">FORTALECIMIENTO A ENTIDADES TERRITORIALES EN </t>
    </r>
    <r>
      <rPr>
        <b/>
        <sz val="10"/>
        <color rgb="FFFF0000"/>
        <rFont val="Helvética Light"/>
      </rPr>
      <t>POLITICA DE SEGURIDAD ALIMENTARIA</t>
    </r>
    <r>
      <rPr>
        <b/>
        <sz val="10"/>
        <color rgb="FF094A82"/>
        <rFont val="Helvética Light"/>
      </rPr>
      <t xml:space="preserve"> </t>
    </r>
    <r>
      <rPr>
        <b/>
        <sz val="10"/>
        <rFont val="Helvética Light"/>
      </rPr>
      <t>NACIONAL</t>
    </r>
  </si>
  <si>
    <t>4103056</t>
  </si>
  <si>
    <t>SERVICIO DE ASISTENCIA TÉCNICA EN SEGURIDAD ALIMENTARIA Y NUTRICIONAL A ENTIDADES TERRITORIALES</t>
  </si>
  <si>
    <t>4103060</t>
  </si>
  <si>
    <t>DOCUMENTO DE LINEAMIENTOS TÉCNICOS</t>
  </si>
  <si>
    <t>17</t>
  </si>
  <si>
    <r>
      <t xml:space="preserve">IMPLEMENTACIÓN DE HERRAMIENTAS PARA LA </t>
    </r>
    <r>
      <rPr>
        <b/>
        <sz val="10"/>
        <color rgb="FFFF0000"/>
        <rFont val="Helvética Light"/>
      </rPr>
      <t>INCLUSIÓN PRODUCTIVA</t>
    </r>
    <r>
      <rPr>
        <b/>
        <sz val="10"/>
        <color rgb="FF094A82"/>
        <rFont val="Helvética Light"/>
      </rPr>
      <t xml:space="preserve"> </t>
    </r>
    <r>
      <rPr>
        <b/>
        <sz val="10"/>
        <rFont val="Helvética Light"/>
      </rPr>
      <t>DE LA POBLACIÓN EN SITUACIÓN DE POBREZA EXTREMA, VULNERABILIDAD Y VICTIMAS DEL DESPLAZAMIENTO FORZADO POR LA VIOLENCIA FIP A NIVEL  NACIONAL</t>
    </r>
  </si>
  <si>
    <t>4103005</t>
  </si>
  <si>
    <t>SERVICIO DE ASISTENCIA TÉCNICA PARA EL EMPRENDIMIENTO</t>
  </si>
  <si>
    <t>4103057</t>
  </si>
  <si>
    <t>SERVICIO DE APOYO A UNIDADES PRODUCTIVAS INDIVIDUALES PARA LA GENERACIÓN DE INGRESOS</t>
  </si>
  <si>
    <r>
      <t xml:space="preserve">IMPLEMENTACIÓN DE LA ESTRATEGIA DE </t>
    </r>
    <r>
      <rPr>
        <b/>
        <sz val="10"/>
        <color rgb="FFFF0000"/>
        <rFont val="Helvética Light"/>
      </rPr>
      <t>ACOMPAÑAMIENTO FAMILIAR Y COMUNITARIO PARA LA SUPERACIÓN DE LA POBREZA</t>
    </r>
    <r>
      <rPr>
        <b/>
        <sz val="10"/>
        <rFont val="Helvética Light"/>
      </rPr>
      <t xml:space="preserve"> - FIP A NIVEL   NACIONAL</t>
    </r>
  </si>
  <si>
    <t>SERVICIO DE ACOMPAÑAMIENTO FAMILIAR Y COMUNITARIO PARA LA SUPERACIÓN DE LA POBREZA</t>
  </si>
  <si>
    <r>
      <t xml:space="preserve">FORTALECIMIENTO DE LA GESTIÓN DE OFERTA PARA LA </t>
    </r>
    <r>
      <rPr>
        <b/>
        <sz val="10"/>
        <color rgb="FFFF0000"/>
        <rFont val="Helvética Light"/>
      </rPr>
      <t>SUPERACIÓN DE LA POBREZA</t>
    </r>
    <r>
      <rPr>
        <b/>
        <sz val="10"/>
        <rFont val="Helvética Light"/>
      </rPr>
      <t>- FIP A NIVEL  NACIONAL</t>
    </r>
  </si>
  <si>
    <t>SERVICIO DE ASISTENCIA TÉCNICA A LAS ENTIDADES TERRITORIALES EN LA FORMULACIÓN DE SUS MARCOS DE LUCHA CONTRA LA POBREZA</t>
  </si>
  <si>
    <t>SERVICIO DE GESTIÓN DE OFERTA SOCIAL PARA LA POBLACIÓN VULNERABLE</t>
  </si>
  <si>
    <r>
      <t xml:space="preserve">IMPLEMENTACION DE </t>
    </r>
    <r>
      <rPr>
        <b/>
        <sz val="10"/>
        <color rgb="FFFF0000"/>
        <rFont val="Helvética Light"/>
      </rPr>
      <t xml:space="preserve">TRANSFERENCIAS MONETARIAS NO CONDICIONAS </t>
    </r>
    <r>
      <rPr>
        <b/>
        <sz val="10"/>
        <rFont val="Helvética Light"/>
      </rPr>
      <t>PARA DISMINUIR POBREZA MONETARIA EN LA POBLACION POBRE NACIONAL NACIONAL</t>
    </r>
  </si>
  <si>
    <t>SERVICIO DE APOYO FINANCIERO PARA LA ENTREGA DE TRANSFERENCIAS MONETARIAS NO CONDICIONADAS</t>
  </si>
  <si>
    <r>
      <t xml:space="preserve">IMPLEMENTACIÓN DE INTERVENCIÓN INTEGRAL A POBLACIÓN CON </t>
    </r>
    <r>
      <rPr>
        <b/>
        <sz val="10"/>
        <color rgb="FFFF0000"/>
        <rFont val="Helvética Light"/>
      </rPr>
      <t>ENFOQUE DIFERENCIAL</t>
    </r>
    <r>
      <rPr>
        <b/>
        <sz val="10"/>
        <color rgb="FFE31414"/>
        <rFont val="Helvética Light"/>
      </rPr>
      <t xml:space="preserve"> ÉTNICO</t>
    </r>
    <r>
      <rPr>
        <b/>
        <sz val="10"/>
        <rFont val="Helvética Light"/>
      </rPr>
      <t>, A NIVEL NACIONAL</t>
    </r>
  </si>
  <si>
    <t>4103050</t>
  </si>
  <si>
    <t>4103058</t>
  </si>
  <si>
    <t>SERVICIO DE APOYO PARA EL FORTALECIMIENTO DE UNIDADES PRODUCTIVAS COLECTIVAS PARA LA GENERACIÓN DE INGRESOS</t>
  </si>
  <si>
    <t>IMPLEMENTACIÓN DE UNA INTERVENCIÓN INTEGRAL DIRIGIDA A LOS HOGARES RURALES VICTIMAS DE DESPLAZAMIENTO FORZADO EN CONDICIONES DE VULNERABILIDAD, A NIVEL NACIONAL</t>
  </si>
  <si>
    <t>SERVICIO DE APOYO PARA EL MEJORAMIENTO DE CONDICIONES FÍSICAS O DOTACIÓN DE VIVIENDA DE HOGARES  VULNERABLES RURALES</t>
  </si>
  <si>
    <t>4103062</t>
  </si>
  <si>
    <t>IMPLEMENTACIÓN DE SUBSIDIO ECONÓMICO PARA POBLACIÓN ADULTA MAYOR EN SITUACIÓN DE VULNERABILIDAD - NACIONAL</t>
  </si>
  <si>
    <t>SERVICIO DE APOYO FINANCIERO PARA EL ADULTO MAYOR</t>
  </si>
  <si>
    <t>IMPLEMENTACION DE TRANSFERENCIAS MONETARIAS NO CONDICIONADAS PARA ATENCION DE EMERGENCIA FIP- NACIONAL</t>
  </si>
  <si>
    <t>IMPLEMENTACION  DE UNA HERRAMIENTA DE GENERACION DE INGRESOS PARA POBLACION VULNERABLE A NIVEL NACIONAL NACIONAL  NACIONAL</t>
  </si>
  <si>
    <r>
      <t>IMPLEMENTACIÓN DE UNIDADES PRODUCTIVAS DE AUTOCONSUMO PARA POBLACIÓN POBRE Y VULNERABLE NACIONAL-</t>
    </r>
    <r>
      <rPr>
        <b/>
        <sz val="10"/>
        <color rgb="FFFF0000"/>
        <rFont val="Helvética Light"/>
      </rPr>
      <t>RESA</t>
    </r>
    <r>
      <rPr>
        <sz val="10"/>
        <rFont val="Helvética Light"/>
      </rPr>
      <t xml:space="preserve"> </t>
    </r>
    <r>
      <rPr>
        <sz val="10"/>
        <color rgb="FFFF0000"/>
        <rFont val="Helvética Light"/>
      </rPr>
      <t>(Nueva Ficha)</t>
    </r>
  </si>
  <si>
    <r>
      <t>FORTALECIMIENTO DE CAPACIDADES PARA EL  DESARROLLO DE LA</t>
    </r>
    <r>
      <rPr>
        <b/>
        <sz val="10"/>
        <color rgb="FFFF0000"/>
        <rFont val="Helvética Light"/>
      </rPr>
      <t xml:space="preserve"> INFRAESTRUCTURA SOCIAL Y HÁBITAT </t>
    </r>
    <r>
      <rPr>
        <sz val="10"/>
        <color rgb="FFFF0000"/>
        <rFont val="Helvética Light"/>
      </rPr>
      <t xml:space="preserve"> (Nueva Ficha</t>
    </r>
    <r>
      <rPr>
        <b/>
        <sz val="10"/>
        <color rgb="FFFF0000"/>
        <rFont val="Helvética Light"/>
      </rPr>
      <t xml:space="preserve">) </t>
    </r>
    <r>
      <rPr>
        <b/>
        <sz val="10"/>
        <rFont val="Helvética Light"/>
      </rPr>
      <t>PARA LA PAZ TOTAL A NIVEL NACIONAL - FIP  NACIONAL</t>
    </r>
  </si>
  <si>
    <t>SERVICIO DE ASISTENCIA TÉCNICA</t>
  </si>
  <si>
    <r>
      <t xml:space="preserve">IMPLEMENTACIÓN DE TRANSFERENCIAS MONETARIAS PARA POBLACIÓN EN SITUACIÓN DE POBREZA O VULNERABILIDAD A NIVEL   NACIONAL - </t>
    </r>
    <r>
      <rPr>
        <b/>
        <sz val="10"/>
        <color rgb="FFFF0000"/>
        <rFont val="Helvética Light"/>
      </rPr>
      <t>RENTA CIUDADANA</t>
    </r>
  </si>
  <si>
    <t xml:space="preserve">SERVICIO DE APOYO FINANCIERO PARA LA ENTREGA DE TRANSFERENCIAS MONETARIAS </t>
  </si>
  <si>
    <t>06</t>
  </si>
  <si>
    <t>ADQUISICIÓN DE ACTIVOS FINANCIEROS</t>
  </si>
  <si>
    <r>
      <t xml:space="preserve">IMPLEMENTACIÓN </t>
    </r>
    <r>
      <rPr>
        <b/>
        <sz val="10"/>
        <color rgb="FFFF0000"/>
        <rFont val="Helvética Light"/>
      </rPr>
      <t>SERVICIO DE ORIENTACIÓN Y COMUNICACIÓN DE LOS PROGRAMAS MISIONALES</t>
    </r>
    <r>
      <rPr>
        <b/>
        <sz val="10"/>
        <rFont val="Helvética Light"/>
      </rPr>
      <t xml:space="preserve"> DE PROSPERIDAD SOCIAL PARA EL FORTALECIMIENTO DE LA RELACIÓN ESTADO - CIUDADANO  NACIONAL</t>
    </r>
  </si>
  <si>
    <t>FORTALECIMIENTO DE LA GESTIÓN Y DIRECCIÓN DEL SECTOR INCLUSIÓN SOCIAL Y RECONCILIACIÓN</t>
  </si>
  <si>
    <t>4199</t>
  </si>
  <si>
    <t>2</t>
  </si>
  <si>
    <t>IMPLEMENTACIÓN Y AMPLIACIÓN DE LAS TECNOLOGÍAS DE INFORMACIÓN Y COMUNICACIONES EN DPS A NIVEL NACIONAL</t>
  </si>
  <si>
    <t>4199062</t>
  </si>
  <si>
    <t>SERVICIOS TECNOLÓGICOS</t>
  </si>
  <si>
    <t>TOTAL PRESUPUESTO</t>
  </si>
  <si>
    <t>EJECUCIÓN AL 15 DE NOVIEMBRE DE 2024</t>
  </si>
  <si>
    <t>FUENTE</t>
  </si>
  <si>
    <t>DETALLE RUBRO</t>
  </si>
  <si>
    <t>APR. VIGENTE</t>
  </si>
  <si>
    <t>APR BLOQUEADA</t>
  </si>
  <si>
    <t>CDP</t>
  </si>
  <si>
    <t>APR. DISPONIBLE
(SIN CDP)</t>
  </si>
  <si>
    <t>COMPROMISO</t>
  </si>
  <si>
    <t>% COMPR.</t>
  </si>
  <si>
    <t>OBLIGACION</t>
  </si>
  <si>
    <t>% OBLIG.</t>
  </si>
  <si>
    <t>A-01-01-01</t>
  </si>
  <si>
    <t>Nación</t>
  </si>
  <si>
    <t>A-01-01-02</t>
  </si>
  <si>
    <t>A-01-01-03</t>
  </si>
  <si>
    <t>A-02</t>
  </si>
  <si>
    <t>ADQUISICIÓN DE BIENES  Y SERVICIOS</t>
  </si>
  <si>
    <t>A-03-04-02-012</t>
  </si>
  <si>
    <t>A-03-10</t>
  </si>
  <si>
    <t>A-08-01</t>
  </si>
  <si>
    <t>A-08-04-01</t>
  </si>
  <si>
    <t>TOTAL FUNCIONAMIENTO</t>
  </si>
  <si>
    <t>C-4103</t>
  </si>
  <si>
    <t>C-4103-1500</t>
  </si>
  <si>
    <t>C-4103-1500-21-705020</t>
  </si>
  <si>
    <t>IRACA</t>
  </si>
  <si>
    <t>C-4103-1500-22-20101I</t>
  </si>
  <si>
    <t>FEST</t>
  </si>
  <si>
    <t>C-4103-1500-25-20101A</t>
  </si>
  <si>
    <t>GENIOS
(GENERACIÓN INGRESOS)</t>
  </si>
  <si>
    <t>C-4103-1500-26-20101I</t>
  </si>
  <si>
    <t>RESA</t>
  </si>
  <si>
    <t>C-4103-1500-26-30206A</t>
  </si>
  <si>
    <t>C-4103-1500-27-30205B</t>
  </si>
  <si>
    <t>SAN
(SEGURIDAD ALIMENTARIA)</t>
  </si>
  <si>
    <t>C-4103-1500-28-201020</t>
  </si>
  <si>
    <t>INFRAESTRUCTURA</t>
  </si>
  <si>
    <t>C-4103-1500-29-20101B</t>
  </si>
  <si>
    <t>ACOMPAÑAMIENTO+OFERTA+SGSP</t>
  </si>
  <si>
    <t>C-4103-1500-30-20101A</t>
  </si>
  <si>
    <t>PROGRAMA HAMBRE CERO-DIP1</t>
  </si>
  <si>
    <t>C-4103-1500-31-706010</t>
  </si>
  <si>
    <t>JÓVENES EN PAZ</t>
  </si>
  <si>
    <t>C-4103-1500-32-20101A</t>
  </si>
  <si>
    <t>RENTA CIUDADANA - RENTA JOVEN - IVA - COLOMBIA MAYOR (CSF)</t>
  </si>
  <si>
    <t>COLOMBIA MAYOR (SSF)</t>
  </si>
  <si>
    <t>C-4103-1500-33-53105B</t>
  </si>
  <si>
    <t>SERVICIO DE ORIENTACIÓN Y COMUNICACIÓN</t>
  </si>
  <si>
    <t>C-4103-1500-34-20101I</t>
  </si>
  <si>
    <t>FEST2</t>
  </si>
  <si>
    <t>C-4103-1500-37-20307A</t>
  </si>
  <si>
    <t>ECONOMÍA POPULAR (EP)</t>
  </si>
  <si>
    <t>C-4103-1500-38-30205B</t>
  </si>
  <si>
    <t>PROGRAMA HAMBRE CERO-DIP2</t>
  </si>
  <si>
    <t>C-4199</t>
  </si>
  <si>
    <t>C-4199-1500</t>
  </si>
  <si>
    <t>C-4199-1500-3-53105B</t>
  </si>
  <si>
    <t>TECNOLOGÍAS DE INFORMACIÓN</t>
  </si>
  <si>
    <t>TOTAL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</si>
</sst>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\ #,##0.00;\-&quot;$&quot;\ #,##0.00"/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00"/>
    <numFmt numFmtId="166" formatCode="000"/>
    <numFmt numFmtId="167" formatCode="0.0%"/>
    <numFmt numFmtId="168" formatCode="_-* #,##0.000_-;\-* #,##0.000_-;_-* &quot;-&quot;??_-;_-@_-"/>
    <numFmt numFmtId="169" formatCode="_-* #,##0_-;\-* #,##0_-;_-* &quot;-&quot;??_-;_-@_-"/>
  </numFmts>
  <fonts count="5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theme="0"/>
      <name val="Helvética Light"/>
    </font>
    <font>
      <sz val="8"/>
      <color theme="0"/>
      <name val="Helvética Light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Helvética Light"/>
    </font>
    <font>
      <b/>
      <i/>
      <sz val="24"/>
      <color indexed="8"/>
      <name val="Helvética Light"/>
    </font>
    <font>
      <b/>
      <sz val="24"/>
      <color rgb="FF003087"/>
      <name val="Helvética Light"/>
    </font>
    <font>
      <b/>
      <sz val="20"/>
      <color indexed="8"/>
      <name val="Helvética Light"/>
    </font>
    <font>
      <b/>
      <sz val="20"/>
      <color rgb="FF003087"/>
      <name val="Helvética Light"/>
    </font>
    <font>
      <b/>
      <sz val="10"/>
      <color indexed="8"/>
      <name val="Helvética Light"/>
    </font>
    <font>
      <sz val="10"/>
      <color indexed="8"/>
      <name val="Helvética Light"/>
    </font>
    <font>
      <sz val="11"/>
      <color theme="0"/>
      <name val="Helvética Light"/>
    </font>
    <font>
      <b/>
      <sz val="11"/>
      <color theme="1"/>
      <name val="Helvética Light"/>
    </font>
    <font>
      <sz val="10"/>
      <name val="Arial Narrow"/>
      <family val="2"/>
    </font>
    <font>
      <sz val="10"/>
      <color theme="0"/>
      <name val="Arial Narrow"/>
      <family val="2"/>
    </font>
    <font>
      <b/>
      <sz val="11"/>
      <color theme="0"/>
      <name val="Helvética Light"/>
    </font>
    <font>
      <b/>
      <sz val="10"/>
      <color theme="0"/>
      <name val="Helvética Light"/>
    </font>
    <font>
      <b/>
      <sz val="10"/>
      <name val="Helvética Light"/>
    </font>
    <font>
      <sz val="10"/>
      <name val="Helvética Light"/>
    </font>
    <font>
      <sz val="11"/>
      <color rgb="FF000000"/>
      <name val="Calibri"/>
      <family val="2"/>
      <scheme val="minor"/>
    </font>
    <font>
      <b/>
      <sz val="10"/>
      <color rgb="FFFF0000"/>
      <name val="Helvética Light"/>
    </font>
    <font>
      <b/>
      <sz val="10"/>
      <color rgb="FF094A82"/>
      <name val="Helvética Light"/>
    </font>
    <font>
      <b/>
      <sz val="10"/>
      <color rgb="FFE31414"/>
      <name val="Helvética Light"/>
    </font>
    <font>
      <sz val="10"/>
      <color rgb="FFFF0000"/>
      <name val="Helvética Light"/>
    </font>
    <font>
      <b/>
      <sz val="11"/>
      <color rgb="FFFF0000"/>
      <name val="Helvética Light"/>
    </font>
    <font>
      <sz val="11"/>
      <color rgb="FFFF0000"/>
      <name val="Helvética Light"/>
    </font>
    <font>
      <sz val="9"/>
      <color theme="0"/>
      <name val="Helvética Light"/>
    </font>
    <font>
      <b/>
      <sz val="9"/>
      <color theme="0"/>
      <name val="Helvética Light"/>
    </font>
    <font>
      <sz val="12"/>
      <color rgb="FFFF0000"/>
      <name val="Helvética Light"/>
    </font>
    <font>
      <sz val="9"/>
      <color rgb="FFFF0000"/>
      <name val="Helvética Light"/>
    </font>
    <font>
      <b/>
      <sz val="14"/>
      <color rgb="FFFF0000"/>
      <name val="Helvética Light"/>
    </font>
    <font>
      <sz val="11"/>
      <name val="Helvética Light"/>
    </font>
    <font>
      <sz val="12"/>
      <name val="Helvética Light"/>
    </font>
    <font>
      <b/>
      <sz val="14"/>
      <name val="Helvética Light"/>
    </font>
    <font>
      <b/>
      <sz val="11"/>
      <name val="Helvética Light"/>
    </font>
    <font>
      <sz val="12"/>
      <color theme="1"/>
      <name val="Helvética Light"/>
    </font>
    <font>
      <b/>
      <sz val="14"/>
      <color theme="1"/>
      <name val="Helvética Light"/>
    </font>
    <font>
      <b/>
      <sz val="11"/>
      <color rgb="FF0070C0"/>
      <name val="Helvética Light"/>
    </font>
    <font>
      <sz val="11"/>
      <color rgb="FF0070C0"/>
      <name val="Helvética Light"/>
    </font>
    <font>
      <sz val="11"/>
      <color theme="1"/>
      <name val="Helvética Light"/>
    </font>
    <font>
      <b/>
      <i/>
      <sz val="24"/>
      <color theme="1"/>
      <name val="Helvética Light"/>
    </font>
    <font>
      <b/>
      <i/>
      <sz val="14"/>
      <color theme="1"/>
      <name val="Helvética Light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sz val="11"/>
      <color theme="0"/>
      <name val="Calibri"/>
      <family val="2"/>
    </font>
    <font>
      <b/>
      <sz val="11"/>
      <color rgb="FF000000"/>
      <name val="Times New Roman"/>
      <family val="1"/>
    </font>
    <font>
      <sz val="11"/>
      <name val="Calibri"/>
      <family val="2"/>
    </font>
    <font>
      <b/>
      <sz val="11"/>
      <color theme="0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9"/>
      <color theme="0"/>
      <name val="Calibri"/>
      <family val="2"/>
    </font>
    <font>
      <b/>
      <sz val="9"/>
      <color theme="0"/>
      <name val="Times New Roman"/>
      <family val="1"/>
    </font>
    <font>
      <b/>
      <sz val="9"/>
      <name val="Calibri"/>
      <family val="2"/>
    </font>
    <font>
      <b/>
      <sz val="9"/>
      <name val="Times New Roman"/>
      <family val="1"/>
    </font>
    <font>
      <sz val="9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087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88888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5F5F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1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165" fontId="15" fillId="0" borderId="0" applyFill="0">
      <alignment horizontal="center" vertical="center" wrapText="1"/>
    </xf>
    <xf numFmtId="166" fontId="16" fillId="4" borderId="0" applyFill="0" applyAlignment="0">
      <alignment horizontal="center" vertical="center"/>
    </xf>
    <xf numFmtId="41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</cellStyleXfs>
  <cellXfs count="263">
    <xf numFmtId="0" fontId="0" fillId="0" borderId="0" xfId="0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49" fontId="3" fillId="0" borderId="0" xfId="1" applyNumberFormat="1" applyFont="1" applyAlignment="1">
      <alignment horizontal="center" vertical="center"/>
    </xf>
    <xf numFmtId="3" fontId="2" fillId="0" borderId="0" xfId="2" applyNumberFormat="1" applyFont="1" applyAlignment="1">
      <alignment horizontal="center" vertical="center"/>
    </xf>
    <xf numFmtId="4" fontId="2" fillId="0" borderId="0" xfId="2" applyNumberFormat="1" applyFont="1" applyAlignment="1">
      <alignment vertical="center"/>
    </xf>
    <xf numFmtId="10" fontId="2" fillId="0" borderId="0" xfId="3" applyNumberFormat="1" applyFont="1" applyAlignment="1">
      <alignment vertical="center"/>
    </xf>
    <xf numFmtId="0" fontId="2" fillId="0" borderId="0" xfId="4" applyFont="1" applyAlignment="1">
      <alignment vertical="center"/>
    </xf>
    <xf numFmtId="49" fontId="6" fillId="0" borderId="0" xfId="4" applyNumberFormat="1" applyFont="1" applyAlignment="1">
      <alignment horizontal="center" vertical="center"/>
    </xf>
    <xf numFmtId="49" fontId="7" fillId="0" borderId="0" xfId="1" applyNumberFormat="1" applyFont="1" applyAlignment="1">
      <alignment horizontal="center" vertical="center" wrapText="1"/>
    </xf>
    <xf numFmtId="49" fontId="7" fillId="0" borderId="0" xfId="1" applyNumberFormat="1" applyFont="1" applyAlignment="1">
      <alignment vertical="center" wrapText="1"/>
    </xf>
    <xf numFmtId="0" fontId="6" fillId="0" borderId="0" xfId="4" applyFont="1" applyAlignment="1">
      <alignment vertical="center"/>
    </xf>
    <xf numFmtId="49" fontId="9" fillId="0" borderId="0" xfId="1" applyNumberFormat="1" applyFont="1" applyAlignment="1">
      <alignment horizontal="center" vertical="center"/>
    </xf>
    <xf numFmtId="49" fontId="11" fillId="0" borderId="0" xfId="1" applyNumberFormat="1" applyFont="1" applyAlignment="1">
      <alignment horizontal="center" vertical="center"/>
    </xf>
    <xf numFmtId="49" fontId="12" fillId="0" borderId="0" xfId="1" applyNumberFormat="1" applyFont="1" applyAlignment="1">
      <alignment horizontal="center" vertical="center"/>
    </xf>
    <xf numFmtId="4" fontId="11" fillId="0" borderId="0" xfId="1" applyNumberFormat="1" applyFont="1" applyAlignment="1">
      <alignment horizontal="center" vertical="center"/>
    </xf>
    <xf numFmtId="10" fontId="11" fillId="0" borderId="0" xfId="3" applyNumberFormat="1" applyFont="1" applyAlignment="1">
      <alignment horizontal="center" vertical="center"/>
    </xf>
    <xf numFmtId="0" fontId="13" fillId="2" borderId="0" xfId="1" applyFont="1" applyFill="1" applyAlignment="1">
      <alignment horizontal="left" vertical="center"/>
    </xf>
    <xf numFmtId="4" fontId="14" fillId="3" borderId="1" xfId="2" applyNumberFormat="1" applyFont="1" applyFill="1" applyBorder="1" applyAlignment="1">
      <alignment horizontal="center" vertical="center" wrapText="1"/>
    </xf>
    <xf numFmtId="0" fontId="6" fillId="2" borderId="0" xfId="4" applyFont="1" applyFill="1" applyAlignment="1">
      <alignment vertical="center"/>
    </xf>
    <xf numFmtId="165" fontId="14" fillId="3" borderId="2" xfId="5" applyFont="1" applyFill="1" applyBorder="1" applyAlignment="1">
      <alignment horizontal="center" vertical="center"/>
    </xf>
    <xf numFmtId="4" fontId="14" fillId="3" borderId="2" xfId="2" applyNumberFormat="1" applyFont="1" applyFill="1" applyBorder="1" applyAlignment="1">
      <alignment horizontal="center" vertical="center" wrapText="1"/>
    </xf>
    <xf numFmtId="10" fontId="14" fillId="3" borderId="1" xfId="3" applyNumberFormat="1" applyFont="1" applyFill="1" applyBorder="1" applyAlignment="1">
      <alignment horizontal="center" vertical="center" wrapText="1"/>
    </xf>
    <xf numFmtId="10" fontId="14" fillId="3" borderId="2" xfId="3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vertical="center"/>
    </xf>
    <xf numFmtId="165" fontId="2" fillId="0" borderId="0" xfId="4" applyNumberFormat="1" applyFont="1" applyAlignment="1">
      <alignment vertical="center"/>
    </xf>
    <xf numFmtId="166" fontId="17" fillId="5" borderId="1" xfId="6" applyFont="1" applyFill="1" applyBorder="1" applyAlignment="1">
      <alignment horizontal="left" vertical="center" wrapText="1"/>
    </xf>
    <xf numFmtId="166" fontId="17" fillId="5" borderId="5" xfId="6" applyFont="1" applyFill="1" applyBorder="1" applyAlignment="1">
      <alignment horizontal="center" vertical="center" wrapText="1"/>
    </xf>
    <xf numFmtId="166" fontId="17" fillId="5" borderId="9" xfId="6" applyFont="1" applyFill="1" applyBorder="1" applyAlignment="1">
      <alignment horizontal="center" vertical="center" wrapText="1"/>
    </xf>
    <xf numFmtId="166" fontId="17" fillId="5" borderId="10" xfId="6" applyFont="1" applyFill="1" applyBorder="1" applyAlignment="1">
      <alignment horizontal="center" vertical="center" wrapText="1"/>
    </xf>
    <xf numFmtId="166" fontId="17" fillId="5" borderId="1" xfId="6" applyFont="1" applyFill="1" applyBorder="1" applyAlignment="1">
      <alignment horizontal="center" vertical="center" wrapText="1"/>
    </xf>
    <xf numFmtId="43" fontId="18" fillId="5" borderId="1" xfId="2" applyNumberFormat="1" applyFont="1" applyFill="1" applyBorder="1" applyAlignment="1">
      <alignment horizontal="center" vertical="center" wrapText="1"/>
    </xf>
    <xf numFmtId="10" fontId="18" fillId="5" borderId="1" xfId="3" applyNumberFormat="1" applyFont="1" applyFill="1" applyBorder="1" applyAlignment="1">
      <alignment horizontal="right" vertical="center" wrapText="1"/>
    </xf>
    <xf numFmtId="43" fontId="18" fillId="5" borderId="1" xfId="2" applyNumberFormat="1" applyFont="1" applyFill="1" applyBorder="1" applyAlignment="1">
      <alignment horizontal="left" vertical="center" wrapText="1"/>
    </xf>
    <xf numFmtId="165" fontId="18" fillId="6" borderId="8" xfId="5" applyFont="1" applyFill="1" applyBorder="1" applyAlignment="1">
      <alignment horizontal="left" vertical="center" wrapText="1"/>
    </xf>
    <xf numFmtId="165" fontId="18" fillId="6" borderId="11" xfId="5" applyFont="1" applyFill="1" applyBorder="1">
      <alignment horizontal="center" vertical="center" wrapText="1"/>
    </xf>
    <xf numFmtId="165" fontId="18" fillId="6" borderId="0" xfId="5" applyFont="1" applyFill="1">
      <alignment horizontal="center" vertical="center" wrapText="1"/>
    </xf>
    <xf numFmtId="165" fontId="18" fillId="6" borderId="12" xfId="5" applyFont="1" applyFill="1" applyBorder="1">
      <alignment horizontal="center" vertical="center" wrapText="1"/>
    </xf>
    <xf numFmtId="165" fontId="18" fillId="6" borderId="8" xfId="5" applyFont="1" applyFill="1" applyBorder="1">
      <alignment horizontal="center" vertical="center" wrapText="1"/>
    </xf>
    <xf numFmtId="43" fontId="18" fillId="6" borderId="8" xfId="2" applyNumberFormat="1" applyFont="1" applyFill="1" applyBorder="1" applyAlignment="1">
      <alignment horizontal="center" vertical="center" wrapText="1"/>
    </xf>
    <xf numFmtId="10" fontId="18" fillId="6" borderId="8" xfId="3" applyNumberFormat="1" applyFont="1" applyFill="1" applyBorder="1" applyAlignment="1">
      <alignment vertical="center" wrapText="1"/>
    </xf>
    <xf numFmtId="43" fontId="18" fillId="6" borderId="8" xfId="2" applyNumberFormat="1" applyFont="1" applyFill="1" applyBorder="1" applyAlignment="1">
      <alignment horizontal="left" vertical="center" wrapText="1"/>
    </xf>
    <xf numFmtId="165" fontId="18" fillId="7" borderId="8" xfId="5" applyFont="1" applyFill="1" applyBorder="1" applyAlignment="1">
      <alignment horizontal="left" vertical="center" wrapText="1"/>
    </xf>
    <xf numFmtId="165" fontId="18" fillId="7" borderId="11" xfId="5" applyFont="1" applyFill="1" applyBorder="1">
      <alignment horizontal="center" vertical="center" wrapText="1"/>
    </xf>
    <xf numFmtId="165" fontId="18" fillId="7" borderId="0" xfId="5" applyFont="1" applyFill="1">
      <alignment horizontal="center" vertical="center" wrapText="1"/>
    </xf>
    <xf numFmtId="165" fontId="18" fillId="7" borderId="12" xfId="5" applyFont="1" applyFill="1" applyBorder="1">
      <alignment horizontal="center" vertical="center" wrapText="1"/>
    </xf>
    <xf numFmtId="165" fontId="18" fillId="7" borderId="8" xfId="5" applyFont="1" applyFill="1" applyBorder="1">
      <alignment horizontal="center" vertical="center" wrapText="1"/>
    </xf>
    <xf numFmtId="43" fontId="18" fillId="7" borderId="8" xfId="2" applyNumberFormat="1" applyFont="1" applyFill="1" applyBorder="1" applyAlignment="1">
      <alignment horizontal="center" vertical="center" wrapText="1"/>
    </xf>
    <xf numFmtId="10" fontId="18" fillId="7" borderId="8" xfId="3" applyNumberFormat="1" applyFont="1" applyFill="1" applyBorder="1" applyAlignment="1">
      <alignment vertical="center" wrapText="1"/>
    </xf>
    <xf numFmtId="43" fontId="18" fillId="7" borderId="8" xfId="2" applyNumberFormat="1" applyFont="1" applyFill="1" applyBorder="1" applyAlignment="1">
      <alignment horizontal="left" vertical="center" wrapText="1"/>
    </xf>
    <xf numFmtId="165" fontId="19" fillId="8" borderId="8" xfId="5" applyFont="1" applyFill="1" applyBorder="1" applyAlignment="1">
      <alignment horizontal="left" vertical="center" wrapText="1"/>
    </xf>
    <xf numFmtId="165" fontId="19" fillId="8" borderId="11" xfId="5" applyFont="1" applyFill="1" applyBorder="1">
      <alignment horizontal="center" vertical="center" wrapText="1"/>
    </xf>
    <xf numFmtId="165" fontId="19" fillId="8" borderId="0" xfId="5" applyFont="1" applyFill="1">
      <alignment horizontal="center" vertical="center" wrapText="1"/>
    </xf>
    <xf numFmtId="165" fontId="19" fillId="8" borderId="12" xfId="5" applyFont="1" applyFill="1" applyBorder="1">
      <alignment horizontal="center" vertical="center" wrapText="1"/>
    </xf>
    <xf numFmtId="165" fontId="19" fillId="8" borderId="8" xfId="5" applyFont="1" applyFill="1" applyBorder="1">
      <alignment horizontal="center" vertical="center" wrapText="1"/>
    </xf>
    <xf numFmtId="43" fontId="19" fillId="8" borderId="8" xfId="2" applyNumberFormat="1" applyFont="1" applyFill="1" applyBorder="1" applyAlignment="1">
      <alignment horizontal="center" vertical="center" wrapText="1"/>
    </xf>
    <xf numFmtId="10" fontId="19" fillId="8" borderId="8" xfId="3" applyNumberFormat="1" applyFont="1" applyFill="1" applyBorder="1" applyAlignment="1">
      <alignment vertical="center" wrapText="1"/>
    </xf>
    <xf numFmtId="43" fontId="19" fillId="8" borderId="8" xfId="2" applyNumberFormat="1" applyFont="1" applyFill="1" applyBorder="1" applyAlignment="1">
      <alignment horizontal="left" vertical="center" wrapText="1"/>
    </xf>
    <xf numFmtId="0" fontId="19" fillId="9" borderId="8" xfId="4" applyFont="1" applyFill="1" applyBorder="1" applyAlignment="1">
      <alignment horizontal="left" vertical="center" wrapText="1" readingOrder="1"/>
    </xf>
    <xf numFmtId="0" fontId="19" fillId="9" borderId="11" xfId="4" applyFont="1" applyFill="1" applyBorder="1" applyAlignment="1">
      <alignment horizontal="center" vertical="center" wrapText="1" readingOrder="1"/>
    </xf>
    <xf numFmtId="0" fontId="19" fillId="9" borderId="0" xfId="4" applyFont="1" applyFill="1" applyAlignment="1">
      <alignment horizontal="center" vertical="center" wrapText="1" readingOrder="1"/>
    </xf>
    <xf numFmtId="0" fontId="19" fillId="9" borderId="12" xfId="4" applyFont="1" applyFill="1" applyBorder="1" applyAlignment="1">
      <alignment horizontal="center" vertical="center" wrapText="1" readingOrder="1"/>
    </xf>
    <xf numFmtId="0" fontId="19" fillId="9" borderId="8" xfId="4" applyFont="1" applyFill="1" applyBorder="1" applyAlignment="1">
      <alignment horizontal="center" vertical="center" wrapText="1" readingOrder="1"/>
    </xf>
    <xf numFmtId="43" fontId="19" fillId="9" borderId="8" xfId="2" applyNumberFormat="1" applyFont="1" applyFill="1" applyBorder="1" applyAlignment="1">
      <alignment horizontal="center" vertical="center" wrapText="1"/>
    </xf>
    <xf numFmtId="10" fontId="19" fillId="9" borderId="8" xfId="3" applyNumberFormat="1" applyFont="1" applyFill="1" applyBorder="1" applyAlignment="1">
      <alignment vertical="center" wrapText="1"/>
    </xf>
    <xf numFmtId="0" fontId="20" fillId="0" borderId="8" xfId="4" applyFont="1" applyBorder="1" applyAlignment="1">
      <alignment vertical="center" wrapText="1" readingOrder="1"/>
    </xf>
    <xf numFmtId="0" fontId="20" fillId="0" borderId="11" xfId="4" applyFont="1" applyBorder="1" applyAlignment="1">
      <alignment horizontal="center" vertical="center" wrapText="1" readingOrder="1"/>
    </xf>
    <xf numFmtId="0" fontId="20" fillId="0" borderId="0" xfId="4" applyFont="1" applyAlignment="1">
      <alignment horizontal="center" vertical="center" wrapText="1" readingOrder="1"/>
    </xf>
    <xf numFmtId="0" fontId="20" fillId="0" borderId="12" xfId="4" applyFont="1" applyBorder="1" applyAlignment="1">
      <alignment horizontal="center" vertical="center" wrapText="1" readingOrder="1"/>
    </xf>
    <xf numFmtId="0" fontId="20" fillId="0" borderId="8" xfId="4" applyFont="1" applyBorder="1" applyAlignment="1">
      <alignment horizontal="center" vertical="center" wrapText="1" readingOrder="1"/>
    </xf>
    <xf numFmtId="0" fontId="20" fillId="0" borderId="8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left" vertical="center" wrapText="1" readingOrder="1"/>
    </xf>
    <xf numFmtId="43" fontId="20" fillId="0" borderId="8" xfId="7" applyNumberFormat="1" applyFont="1" applyBorder="1" applyAlignment="1">
      <alignment horizontal="center" vertical="center"/>
    </xf>
    <xf numFmtId="43" fontId="20" fillId="0" borderId="8" xfId="7" applyNumberFormat="1" applyFont="1" applyFill="1" applyBorder="1" applyAlignment="1">
      <alignment horizontal="center" vertical="center"/>
    </xf>
    <xf numFmtId="10" fontId="19" fillId="10" borderId="8" xfId="3" applyNumberFormat="1" applyFont="1" applyFill="1" applyBorder="1" applyAlignment="1">
      <alignment vertical="center" wrapText="1"/>
    </xf>
    <xf numFmtId="43" fontId="20" fillId="0" borderId="8" xfId="7" applyNumberFormat="1" applyFont="1" applyBorder="1" applyAlignment="1">
      <alignment horizontal="right" vertical="center"/>
    </xf>
    <xf numFmtId="43" fontId="6" fillId="0" borderId="8" xfId="7" applyNumberFormat="1" applyFont="1" applyFill="1" applyBorder="1" applyAlignment="1">
      <alignment horizontal="center" vertical="center"/>
    </xf>
    <xf numFmtId="0" fontId="20" fillId="0" borderId="13" xfId="4" applyFont="1" applyBorder="1" applyAlignment="1">
      <alignment vertical="center" wrapText="1" readingOrder="1"/>
    </xf>
    <xf numFmtId="0" fontId="20" fillId="0" borderId="14" xfId="4" applyFont="1" applyBorder="1" applyAlignment="1">
      <alignment horizontal="center" vertical="center" wrapText="1" readingOrder="1"/>
    </xf>
    <xf numFmtId="0" fontId="20" fillId="0" borderId="15" xfId="4" applyFont="1" applyBorder="1" applyAlignment="1">
      <alignment horizontal="center" vertical="center" wrapText="1" readingOrder="1"/>
    </xf>
    <xf numFmtId="0" fontId="20" fillId="0" borderId="16" xfId="4" applyFont="1" applyBorder="1" applyAlignment="1">
      <alignment horizontal="center" vertical="center" wrapText="1" readingOrder="1"/>
    </xf>
    <xf numFmtId="0" fontId="20" fillId="0" borderId="13" xfId="4" applyFont="1" applyBorder="1" applyAlignment="1">
      <alignment horizontal="center" vertical="center" wrapText="1" readingOrder="1"/>
    </xf>
    <xf numFmtId="0" fontId="20" fillId="0" borderId="13" xfId="4" applyFont="1" applyBorder="1" applyAlignment="1">
      <alignment horizontal="center" vertical="center" wrapText="1"/>
    </xf>
    <xf numFmtId="0" fontId="6" fillId="0" borderId="13" xfId="4" applyFont="1" applyBorder="1" applyAlignment="1">
      <alignment horizontal="left" vertical="center" wrapText="1" readingOrder="1"/>
    </xf>
    <xf numFmtId="43" fontId="20" fillId="0" borderId="13" xfId="7" applyNumberFormat="1" applyFont="1" applyBorder="1" applyAlignment="1">
      <alignment horizontal="center" vertical="center"/>
    </xf>
    <xf numFmtId="43" fontId="20" fillId="0" borderId="13" xfId="7" applyNumberFormat="1" applyFont="1" applyFill="1" applyBorder="1" applyAlignment="1">
      <alignment horizontal="center" vertical="center"/>
    </xf>
    <xf numFmtId="10" fontId="19" fillId="10" borderId="13" xfId="3" applyNumberFormat="1" applyFont="1" applyFill="1" applyBorder="1" applyAlignment="1">
      <alignment vertical="center" wrapText="1"/>
    </xf>
    <xf numFmtId="43" fontId="20" fillId="0" borderId="13" xfId="7" applyNumberFormat="1" applyFont="1" applyBorder="1" applyAlignment="1">
      <alignment horizontal="right" vertical="center"/>
    </xf>
    <xf numFmtId="49" fontId="20" fillId="0" borderId="0" xfId="4" applyNumberFormat="1" applyFont="1" applyAlignment="1">
      <alignment horizontal="center" vertical="center" wrapText="1" readingOrder="1"/>
    </xf>
    <xf numFmtId="43" fontId="6" fillId="0" borderId="8" xfId="7" applyNumberFormat="1" applyFont="1" applyBorder="1" applyAlignment="1">
      <alignment horizontal="center" vertical="center"/>
    </xf>
    <xf numFmtId="0" fontId="19" fillId="0" borderId="8" xfId="4" applyFont="1" applyBorder="1" applyAlignment="1">
      <alignment vertical="center" wrapText="1" readingOrder="1"/>
    </xf>
    <xf numFmtId="0" fontId="19" fillId="0" borderId="11" xfId="4" applyFont="1" applyBorder="1" applyAlignment="1">
      <alignment horizontal="center" vertical="center" wrapText="1" readingOrder="1"/>
    </xf>
    <xf numFmtId="0" fontId="19" fillId="0" borderId="0" xfId="4" applyFont="1" applyAlignment="1">
      <alignment horizontal="center" vertical="center" wrapText="1" readingOrder="1"/>
    </xf>
    <xf numFmtId="0" fontId="19" fillId="0" borderId="12" xfId="4" applyFont="1" applyBorder="1" applyAlignment="1">
      <alignment horizontal="center" vertical="center" wrapText="1" readingOrder="1"/>
    </xf>
    <xf numFmtId="0" fontId="19" fillId="0" borderId="8" xfId="4" applyFont="1" applyBorder="1" applyAlignment="1">
      <alignment horizontal="center" vertical="center" wrapText="1" readingOrder="1"/>
    </xf>
    <xf numFmtId="0" fontId="19" fillId="0" borderId="8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left" vertical="center" wrapText="1" readingOrder="1"/>
    </xf>
    <xf numFmtId="43" fontId="19" fillId="0" borderId="8" xfId="7" applyNumberFormat="1" applyFont="1" applyBorder="1" applyAlignment="1">
      <alignment horizontal="center" vertical="center"/>
    </xf>
    <xf numFmtId="43" fontId="19" fillId="0" borderId="8" xfId="7" applyNumberFormat="1" applyFont="1" applyFill="1" applyBorder="1" applyAlignment="1">
      <alignment horizontal="center" vertical="center"/>
    </xf>
    <xf numFmtId="43" fontId="19" fillId="0" borderId="8" xfId="7" applyNumberFormat="1" applyFont="1" applyBorder="1" applyAlignment="1">
      <alignment horizontal="right" vertical="center"/>
    </xf>
    <xf numFmtId="0" fontId="19" fillId="0" borderId="0" xfId="4" applyFont="1" applyAlignment="1">
      <alignment vertical="center"/>
    </xf>
    <xf numFmtId="0" fontId="18" fillId="7" borderId="0" xfId="4" applyFont="1" applyFill="1" applyAlignment="1">
      <alignment horizontal="center" vertical="center" wrapText="1" readingOrder="1"/>
    </xf>
    <xf numFmtId="166" fontId="17" fillId="5" borderId="8" xfId="6" applyFont="1" applyFill="1" applyBorder="1" applyAlignment="1">
      <alignment horizontal="left" vertical="center" wrapText="1"/>
    </xf>
    <xf numFmtId="166" fontId="17" fillId="5" borderId="11" xfId="6" applyFont="1" applyFill="1" applyBorder="1" applyAlignment="1">
      <alignment horizontal="center" vertical="center" wrapText="1"/>
    </xf>
    <xf numFmtId="166" fontId="17" fillId="5" borderId="0" xfId="6" applyFont="1" applyFill="1" applyAlignment="1">
      <alignment horizontal="center" vertical="center" wrapText="1"/>
    </xf>
    <xf numFmtId="166" fontId="17" fillId="5" borderId="12" xfId="6" applyFont="1" applyFill="1" applyBorder="1" applyAlignment="1">
      <alignment horizontal="center" vertical="center" wrapText="1"/>
    </xf>
    <xf numFmtId="166" fontId="17" fillId="5" borderId="8" xfId="6" applyFont="1" applyFill="1" applyBorder="1" applyAlignment="1">
      <alignment horizontal="center" vertical="center" wrapText="1"/>
    </xf>
    <xf numFmtId="43" fontId="18" fillId="5" borderId="8" xfId="2" applyNumberFormat="1" applyFont="1" applyFill="1" applyBorder="1" applyAlignment="1">
      <alignment horizontal="center" vertical="center" wrapText="1"/>
    </xf>
    <xf numFmtId="167" fontId="18" fillId="5" borderId="8" xfId="3" applyNumberFormat="1" applyFont="1" applyFill="1" applyBorder="1" applyAlignment="1">
      <alignment horizontal="right" vertical="center" wrapText="1"/>
    </xf>
    <xf numFmtId="43" fontId="18" fillId="5" borderId="8" xfId="2" applyNumberFormat="1" applyFont="1" applyFill="1" applyBorder="1" applyAlignment="1">
      <alignment horizontal="left" vertical="center" wrapText="1"/>
    </xf>
    <xf numFmtId="49" fontId="20" fillId="0" borderId="12" xfId="4" applyNumberFormat="1" applyFont="1" applyBorder="1" applyAlignment="1">
      <alignment horizontal="center" vertical="center" wrapText="1" readingOrder="1"/>
    </xf>
    <xf numFmtId="168" fontId="20" fillId="0" borderId="8" xfId="7" applyNumberFormat="1" applyFont="1" applyFill="1" applyBorder="1" applyAlignment="1">
      <alignment horizontal="center" vertical="center"/>
    </xf>
    <xf numFmtId="0" fontId="20" fillId="0" borderId="7" xfId="4" applyFont="1" applyBorder="1" applyAlignment="1">
      <alignment vertical="center" wrapText="1" readingOrder="1"/>
    </xf>
    <xf numFmtId="0" fontId="20" fillId="0" borderId="17" xfId="4" applyFont="1" applyBorder="1" applyAlignment="1">
      <alignment horizontal="center" vertical="center" wrapText="1" readingOrder="1"/>
    </xf>
    <xf numFmtId="0" fontId="20" fillId="0" borderId="18" xfId="4" applyFont="1" applyBorder="1" applyAlignment="1">
      <alignment horizontal="center" vertical="center" wrapText="1" readingOrder="1"/>
    </xf>
    <xf numFmtId="0" fontId="20" fillId="0" borderId="19" xfId="4" applyFont="1" applyBorder="1" applyAlignment="1">
      <alignment horizontal="center" vertical="center" wrapText="1" readingOrder="1"/>
    </xf>
    <xf numFmtId="0" fontId="20" fillId="0" borderId="7" xfId="4" applyFont="1" applyBorder="1" applyAlignment="1">
      <alignment horizontal="center" vertical="center" wrapText="1" readingOrder="1"/>
    </xf>
    <xf numFmtId="0" fontId="20" fillId="0" borderId="7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left" vertical="center" wrapText="1" readingOrder="1"/>
    </xf>
    <xf numFmtId="43" fontId="20" fillId="0" borderId="7" xfId="7" applyNumberFormat="1" applyFont="1" applyBorder="1" applyAlignment="1">
      <alignment horizontal="center" vertical="center"/>
    </xf>
    <xf numFmtId="43" fontId="20" fillId="0" borderId="7" xfId="7" applyNumberFormat="1" applyFont="1" applyFill="1" applyBorder="1" applyAlignment="1">
      <alignment horizontal="center" vertical="center"/>
    </xf>
    <xf numFmtId="10" fontId="19" fillId="10" borderId="7" xfId="3" applyNumberFormat="1" applyFont="1" applyFill="1" applyBorder="1" applyAlignment="1">
      <alignment vertical="center" wrapText="1"/>
    </xf>
    <xf numFmtId="43" fontId="20" fillId="0" borderId="7" xfId="7" applyNumberFormat="1" applyFont="1" applyBorder="1" applyAlignment="1">
      <alignment horizontal="right" vertical="center"/>
    </xf>
    <xf numFmtId="166" fontId="17" fillId="5" borderId="2" xfId="6" applyFont="1" applyFill="1" applyBorder="1" applyAlignment="1">
      <alignment horizontal="left" vertical="center" wrapText="1"/>
    </xf>
    <xf numFmtId="166" fontId="17" fillId="5" borderId="2" xfId="6" applyFont="1" applyFill="1" applyBorder="1" applyAlignment="1">
      <alignment horizontal="center" vertical="center" wrapText="1"/>
    </xf>
    <xf numFmtId="43" fontId="18" fillId="5" borderId="2" xfId="2" applyNumberFormat="1" applyFont="1" applyFill="1" applyBorder="1" applyAlignment="1">
      <alignment horizontal="center" vertical="center" wrapText="1"/>
    </xf>
    <xf numFmtId="10" fontId="18" fillId="5" borderId="2" xfId="3" applyNumberFormat="1" applyFont="1" applyFill="1" applyBorder="1" applyAlignment="1">
      <alignment horizontal="right" vertical="center" wrapText="1"/>
    </xf>
    <xf numFmtId="43" fontId="18" fillId="5" borderId="2" xfId="2" applyNumberFormat="1" applyFont="1" applyFill="1" applyBorder="1" applyAlignment="1">
      <alignment horizontal="left" vertical="center" wrapText="1"/>
    </xf>
    <xf numFmtId="165" fontId="25" fillId="0" borderId="0" xfId="4" applyNumberFormat="1" applyFont="1" applyAlignment="1">
      <alignment vertical="center"/>
    </xf>
    <xf numFmtId="49" fontId="26" fillId="2" borderId="0" xfId="1" applyNumberFormat="1" applyFont="1" applyFill="1" applyAlignment="1">
      <alignment horizontal="center" vertical="center"/>
    </xf>
    <xf numFmtId="49" fontId="26" fillId="0" borderId="0" xfId="1" applyNumberFormat="1" applyFont="1" applyAlignment="1">
      <alignment horizontal="center" vertical="center"/>
    </xf>
    <xf numFmtId="49" fontId="27" fillId="0" borderId="0" xfId="1" applyNumberFormat="1" applyFont="1" applyAlignment="1">
      <alignment horizontal="center" vertical="center"/>
    </xf>
    <xf numFmtId="4" fontId="26" fillId="0" borderId="0" xfId="2" applyNumberFormat="1" applyFont="1" applyAlignment="1">
      <alignment horizontal="right" vertical="center"/>
    </xf>
    <xf numFmtId="10" fontId="26" fillId="0" borderId="0" xfId="3" applyNumberFormat="1" applyFont="1" applyAlignment="1">
      <alignment horizontal="right" vertical="center"/>
    </xf>
    <xf numFmtId="167" fontId="26" fillId="0" borderId="0" xfId="3" applyNumberFormat="1" applyFont="1" applyAlignment="1">
      <alignment horizontal="right" vertical="center"/>
    </xf>
    <xf numFmtId="10" fontId="26" fillId="0" borderId="0" xfId="3" applyNumberFormat="1" applyFont="1" applyAlignment="1">
      <alignment vertical="center"/>
    </xf>
    <xf numFmtId="0" fontId="25" fillId="0" borderId="0" xfId="4" applyFont="1" applyAlignment="1">
      <alignment vertical="center"/>
    </xf>
    <xf numFmtId="49" fontId="17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center" vertical="center"/>
    </xf>
    <xf numFmtId="4" fontId="28" fillId="0" borderId="0" xfId="2" applyNumberFormat="1" applyFont="1" applyFill="1" applyAlignment="1">
      <alignment horizontal="right"/>
    </xf>
    <xf numFmtId="10" fontId="28" fillId="0" borderId="0" xfId="3" applyNumberFormat="1" applyFont="1" applyFill="1" applyAlignment="1">
      <alignment horizontal="right"/>
    </xf>
    <xf numFmtId="167" fontId="28" fillId="0" borderId="0" xfId="3" applyNumberFormat="1" applyFont="1" applyFill="1" applyAlignment="1">
      <alignment horizontal="right"/>
    </xf>
    <xf numFmtId="165" fontId="28" fillId="0" borderId="0" xfId="4" applyNumberFormat="1" applyFont="1" applyAlignment="1">
      <alignment vertical="center"/>
    </xf>
    <xf numFmtId="49" fontId="28" fillId="0" borderId="0" xfId="1" applyNumberFormat="1" applyFont="1" applyAlignment="1">
      <alignment horizontal="center" vertical="center"/>
    </xf>
    <xf numFmtId="0" fontId="28" fillId="0" borderId="0" xfId="4" applyFont="1" applyAlignment="1">
      <alignment vertical="center"/>
    </xf>
    <xf numFmtId="4" fontId="13" fillId="0" borderId="0" xfId="2" applyNumberFormat="1" applyFont="1" applyFill="1" applyAlignment="1">
      <alignment horizontal="right"/>
    </xf>
    <xf numFmtId="10" fontId="13" fillId="0" borderId="0" xfId="8" applyNumberFormat="1" applyFont="1" applyFill="1" applyAlignment="1">
      <alignment horizontal="right"/>
    </xf>
    <xf numFmtId="10" fontId="13" fillId="0" borderId="0" xfId="3" applyNumberFormat="1" applyFont="1" applyFill="1" applyAlignment="1">
      <alignment horizontal="right"/>
    </xf>
    <xf numFmtId="0" fontId="27" fillId="0" borderId="0" xfId="1" applyFont="1" applyAlignment="1">
      <alignment horizontal="left" vertical="center"/>
    </xf>
    <xf numFmtId="0" fontId="27" fillId="0" borderId="0" xfId="1" applyFont="1" applyAlignment="1">
      <alignment vertical="center"/>
    </xf>
    <xf numFmtId="49" fontId="30" fillId="0" borderId="0" xfId="1" applyNumberFormat="1" applyFont="1" applyAlignment="1">
      <alignment horizontal="center" vertical="center"/>
    </xf>
    <xf numFmtId="4" fontId="31" fillId="0" borderId="0" xfId="2" applyNumberFormat="1" applyFont="1" applyAlignment="1">
      <alignment horizontal="right"/>
    </xf>
    <xf numFmtId="4" fontId="32" fillId="0" borderId="0" xfId="2" applyNumberFormat="1" applyFont="1" applyAlignment="1">
      <alignment horizontal="right" vertical="center"/>
    </xf>
    <xf numFmtId="4" fontId="31" fillId="0" borderId="0" xfId="2" applyNumberFormat="1" applyFont="1" applyFill="1" applyAlignment="1">
      <alignment horizontal="right"/>
    </xf>
    <xf numFmtId="4" fontId="25" fillId="2" borderId="0" xfId="1" applyNumberFormat="1" applyFont="1" applyFill="1" applyAlignment="1">
      <alignment vertical="center"/>
    </xf>
    <xf numFmtId="4" fontId="27" fillId="2" borderId="0" xfId="1" applyNumberFormat="1" applyFont="1" applyFill="1" applyAlignment="1">
      <alignment vertical="center"/>
    </xf>
    <xf numFmtId="4" fontId="27" fillId="0" borderId="0" xfId="2" applyNumberFormat="1" applyFont="1" applyAlignment="1">
      <alignment horizontal="right"/>
    </xf>
    <xf numFmtId="10" fontId="32" fillId="0" borderId="0" xfId="3" applyNumberFormat="1" applyFont="1" applyAlignment="1">
      <alignment horizontal="right" vertical="center"/>
    </xf>
    <xf numFmtId="0" fontId="33" fillId="0" borderId="0" xfId="1" applyFont="1" applyAlignment="1">
      <alignment horizontal="left" vertical="center"/>
    </xf>
    <xf numFmtId="0" fontId="33" fillId="0" borderId="0" xfId="1" applyFont="1" applyAlignment="1">
      <alignment vertical="center"/>
    </xf>
    <xf numFmtId="49" fontId="34" fillId="0" borderId="0" xfId="1" applyNumberFormat="1" applyFont="1" applyAlignment="1">
      <alignment horizontal="center" vertical="center"/>
    </xf>
    <xf numFmtId="4" fontId="35" fillId="0" borderId="0" xfId="2" applyNumberFormat="1" applyFont="1" applyAlignment="1">
      <alignment horizontal="right" vertical="center"/>
    </xf>
    <xf numFmtId="4" fontId="36" fillId="0" borderId="0" xfId="2" applyNumberFormat="1" applyFont="1" applyAlignment="1">
      <alignment horizontal="right" vertical="center"/>
    </xf>
    <xf numFmtId="4" fontId="33" fillId="0" borderId="0" xfId="2" applyNumberFormat="1" applyFont="1" applyAlignment="1">
      <alignment horizontal="right"/>
    </xf>
    <xf numFmtId="4" fontId="33" fillId="2" borderId="0" xfId="1" applyNumberFormat="1" applyFont="1" applyFill="1" applyAlignment="1">
      <alignment vertical="center"/>
    </xf>
    <xf numFmtId="10" fontId="35" fillId="0" borderId="0" xfId="3" applyNumberFormat="1" applyFont="1" applyAlignment="1">
      <alignment horizontal="right" vertical="center"/>
    </xf>
    <xf numFmtId="0" fontId="20" fillId="0" borderId="0" xfId="4" applyFont="1" applyAlignment="1">
      <alignment vertical="center"/>
    </xf>
    <xf numFmtId="49" fontId="37" fillId="0" borderId="0" xfId="1" applyNumberFormat="1" applyFont="1" applyAlignment="1">
      <alignment horizontal="center" vertical="center"/>
    </xf>
    <xf numFmtId="4" fontId="38" fillId="0" borderId="0" xfId="2" applyNumberFormat="1" applyFont="1" applyAlignment="1">
      <alignment horizontal="right" vertical="center"/>
    </xf>
    <xf numFmtId="4" fontId="39" fillId="0" borderId="0" xfId="2" applyNumberFormat="1" applyFont="1" applyAlignment="1">
      <alignment horizontal="right" vertical="center"/>
    </xf>
    <xf numFmtId="4" fontId="40" fillId="0" borderId="0" xfId="2" applyNumberFormat="1" applyFont="1" applyAlignment="1">
      <alignment horizontal="right"/>
    </xf>
    <xf numFmtId="4" fontId="41" fillId="2" borderId="0" xfId="1" applyNumberFormat="1" applyFont="1" applyFill="1" applyAlignment="1">
      <alignment vertical="center"/>
    </xf>
    <xf numFmtId="10" fontId="38" fillId="0" borderId="0" xfId="3" applyNumberFormat="1" applyFont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/>
    </xf>
    <xf numFmtId="0" fontId="42" fillId="2" borderId="0" xfId="1" applyFont="1" applyFill="1" applyAlignment="1">
      <alignment horizontal="center" vertical="center"/>
    </xf>
    <xf numFmtId="4" fontId="39" fillId="0" borderId="0" xfId="2" applyNumberFormat="1" applyFont="1" applyAlignment="1">
      <alignment horizontal="right"/>
    </xf>
    <xf numFmtId="0" fontId="43" fillId="2" borderId="0" xfId="1" applyFont="1" applyFill="1" applyAlignment="1">
      <alignment horizontal="center" vertical="center"/>
    </xf>
    <xf numFmtId="164" fontId="43" fillId="2" borderId="0" xfId="2" applyFont="1" applyFill="1" applyAlignment="1">
      <alignment horizontal="center" vertical="center"/>
    </xf>
    <xf numFmtId="10" fontId="43" fillId="2" borderId="0" xfId="3" applyNumberFormat="1" applyFont="1" applyFill="1" applyAlignment="1">
      <alignment horizontal="center" vertical="center"/>
    </xf>
    <xf numFmtId="4" fontId="6" fillId="2" borderId="0" xfId="2" applyNumberFormat="1" applyFont="1" applyFill="1" applyAlignment="1">
      <alignment vertical="center"/>
    </xf>
    <xf numFmtId="10" fontId="6" fillId="2" borderId="0" xfId="3" applyNumberFormat="1" applyFont="1" applyFill="1" applyAlignment="1">
      <alignment vertical="center"/>
    </xf>
    <xf numFmtId="4" fontId="6" fillId="2" borderId="0" xfId="1" applyNumberFormat="1" applyFont="1" applyFill="1" applyAlignment="1">
      <alignment vertical="center"/>
    </xf>
    <xf numFmtId="0" fontId="2" fillId="0" borderId="0" xfId="4" applyFont="1" applyAlignment="1">
      <alignment horizontal="left" vertical="center"/>
    </xf>
    <xf numFmtId="49" fontId="3" fillId="0" borderId="0" xfId="1" applyNumberFormat="1" applyFont="1" applyAlignment="1">
      <alignment horizontal="center" vertical="center" wrapText="1"/>
    </xf>
    <xf numFmtId="49" fontId="9" fillId="0" borderId="0" xfId="1" applyNumberFormat="1" applyFont="1" applyAlignment="1">
      <alignment vertical="center" wrapText="1"/>
    </xf>
    <xf numFmtId="49" fontId="12" fillId="0" borderId="0" xfId="1" applyNumberFormat="1" applyFont="1" applyAlignment="1">
      <alignment horizontal="center" vertical="center" wrapText="1"/>
    </xf>
    <xf numFmtId="49" fontId="27" fillId="0" borderId="0" xfId="1" applyNumberFormat="1" applyFont="1" applyAlignment="1">
      <alignment horizontal="center" vertical="center" wrapText="1"/>
    </xf>
    <xf numFmtId="49" fontId="13" fillId="0" borderId="0" xfId="1" applyNumberFormat="1" applyFont="1" applyAlignment="1">
      <alignment horizontal="center" vertical="center" wrapText="1"/>
    </xf>
    <xf numFmtId="4" fontId="29" fillId="0" borderId="0" xfId="2" applyNumberFormat="1" applyFont="1" applyFill="1" applyAlignment="1">
      <alignment horizontal="right" vertical="center" wrapText="1"/>
    </xf>
    <xf numFmtId="4" fontId="17" fillId="0" borderId="0" xfId="2" applyNumberFormat="1" applyFont="1" applyFill="1" applyAlignment="1">
      <alignment horizontal="right" vertical="center" wrapText="1"/>
    </xf>
    <xf numFmtId="49" fontId="30" fillId="0" borderId="0" xfId="1" applyNumberFormat="1" applyFont="1" applyAlignment="1">
      <alignment horizontal="center" vertical="center" wrapText="1"/>
    </xf>
    <xf numFmtId="49" fontId="34" fillId="0" borderId="0" xfId="1" applyNumberFormat="1" applyFont="1" applyAlignment="1">
      <alignment horizontal="center" vertical="center" wrapText="1"/>
    </xf>
    <xf numFmtId="49" fontId="37" fillId="0" borderId="0" xfId="1" applyNumberFormat="1" applyFont="1" applyAlignment="1">
      <alignment horizontal="center" vertical="center" wrapText="1"/>
    </xf>
    <xf numFmtId="0" fontId="42" fillId="2" borderId="0" xfId="1" applyFont="1" applyFill="1" applyAlignment="1">
      <alignment horizontal="center" vertical="center" wrapText="1"/>
    </xf>
    <xf numFmtId="49" fontId="6" fillId="0" borderId="0" xfId="4" applyNumberFormat="1" applyFont="1" applyAlignment="1">
      <alignment vertical="center" wrapText="1"/>
    </xf>
    <xf numFmtId="0" fontId="47" fillId="0" borderId="0" xfId="9" applyFont="1" applyAlignment="1">
      <alignment vertical="center"/>
    </xf>
    <xf numFmtId="0" fontId="49" fillId="0" borderId="0" xfId="9" applyFont="1"/>
    <xf numFmtId="0" fontId="50" fillId="0" borderId="0" xfId="9" applyFont="1" applyAlignment="1">
      <alignment horizontal="center" vertical="center"/>
    </xf>
    <xf numFmtId="0" fontId="51" fillId="3" borderId="21" xfId="9" applyFont="1" applyFill="1" applyBorder="1" applyAlignment="1">
      <alignment horizontal="center" vertical="center" wrapText="1" readingOrder="1"/>
    </xf>
    <xf numFmtId="10" fontId="51" fillId="3" borderId="21" xfId="8" applyNumberFormat="1" applyFont="1" applyFill="1" applyBorder="1" applyAlignment="1">
      <alignment horizontal="center" vertical="center" wrapText="1" readingOrder="1"/>
    </xf>
    <xf numFmtId="0" fontId="52" fillId="0" borderId="21" xfId="9" applyFont="1" applyBorder="1" applyAlignment="1">
      <alignment horizontal="left" vertical="center" wrapText="1" readingOrder="1"/>
    </xf>
    <xf numFmtId="0" fontId="52" fillId="0" borderId="21" xfId="9" applyFont="1" applyBorder="1" applyAlignment="1">
      <alignment horizontal="center" vertical="center" wrapText="1" readingOrder="1"/>
    </xf>
    <xf numFmtId="0" fontId="52" fillId="0" borderId="21" xfId="9" applyFont="1" applyBorder="1" applyAlignment="1">
      <alignment horizontal="left" vertical="center" wrapText="1" indent="1" readingOrder="1"/>
    </xf>
    <xf numFmtId="43" fontId="52" fillId="0" borderId="21" xfId="10" applyFont="1" applyBorder="1" applyAlignment="1">
      <alignment vertical="center" wrapText="1" readingOrder="1"/>
    </xf>
    <xf numFmtId="10" fontId="52" fillId="0" borderId="21" xfId="8" applyNumberFormat="1" applyFont="1" applyFill="1" applyBorder="1" applyAlignment="1">
      <alignment horizontal="center" vertical="center" wrapText="1" readingOrder="1"/>
    </xf>
    <xf numFmtId="0" fontId="52" fillId="0" borderId="22" xfId="9" applyFont="1" applyBorder="1" applyAlignment="1">
      <alignment horizontal="left" vertical="center" wrapText="1" readingOrder="1"/>
    </xf>
    <xf numFmtId="0" fontId="52" fillId="0" borderId="22" xfId="9" applyFont="1" applyBorder="1" applyAlignment="1">
      <alignment horizontal="center" vertical="center" wrapText="1" readingOrder="1"/>
    </xf>
    <xf numFmtId="0" fontId="52" fillId="0" borderId="22" xfId="9" applyFont="1" applyBorder="1" applyAlignment="1">
      <alignment horizontal="left" vertical="center" wrapText="1" indent="1" readingOrder="1"/>
    </xf>
    <xf numFmtId="43" fontId="52" fillId="0" borderId="22" xfId="10" applyFont="1" applyBorder="1" applyAlignment="1">
      <alignment vertical="center" wrapText="1" readingOrder="1"/>
    </xf>
    <xf numFmtId="10" fontId="52" fillId="0" borderId="22" xfId="8" applyNumberFormat="1" applyFont="1" applyFill="1" applyBorder="1" applyAlignment="1">
      <alignment horizontal="center" vertical="center" wrapText="1" readingOrder="1"/>
    </xf>
    <xf numFmtId="0" fontId="53" fillId="0" borderId="0" xfId="9" applyFont="1" applyAlignment="1">
      <alignment vertical="center"/>
    </xf>
    <xf numFmtId="166" fontId="54" fillId="6" borderId="0" xfId="6" applyFont="1" applyFill="1" applyAlignment="1">
      <alignment horizontal="left" vertical="center"/>
    </xf>
    <xf numFmtId="166" fontId="54" fillId="6" borderId="0" xfId="6" applyFont="1" applyFill="1" applyAlignment="1">
      <alignment horizontal="left" vertical="center" wrapText="1"/>
    </xf>
    <xf numFmtId="43" fontId="54" fillId="6" borderId="0" xfId="10" applyFont="1" applyFill="1" applyBorder="1" applyAlignment="1">
      <alignment vertical="center" wrapText="1"/>
    </xf>
    <xf numFmtId="10" fontId="54" fillId="6" borderId="0" xfId="8" applyNumberFormat="1" applyFont="1" applyFill="1" applyBorder="1" applyAlignment="1">
      <alignment horizontal="center" vertical="center" wrapText="1"/>
    </xf>
    <xf numFmtId="0" fontId="55" fillId="0" borderId="0" xfId="9" applyFont="1"/>
    <xf numFmtId="165" fontId="54" fillId="7" borderId="0" xfId="5" applyFont="1" applyFill="1" applyAlignment="1">
      <alignment horizontal="left" vertical="center" wrapText="1"/>
    </xf>
    <xf numFmtId="165" fontId="54" fillId="7" borderId="0" xfId="5" applyFont="1" applyFill="1" applyAlignment="1">
      <alignment vertical="center"/>
    </xf>
    <xf numFmtId="43" fontId="54" fillId="7" borderId="0" xfId="10" applyFont="1" applyFill="1" applyBorder="1" applyAlignment="1">
      <alignment vertical="center"/>
    </xf>
    <xf numFmtId="165" fontId="54" fillId="7" borderId="0" xfId="5" applyFont="1" applyFill="1" applyAlignment="1">
      <alignment horizontal="center" vertical="center"/>
    </xf>
    <xf numFmtId="165" fontId="56" fillId="8" borderId="0" xfId="5" applyFont="1" applyFill="1" applyAlignment="1">
      <alignment horizontal="left" vertical="center" wrapText="1"/>
    </xf>
    <xf numFmtId="43" fontId="56" fillId="8" borderId="0" xfId="10" applyFont="1" applyFill="1" applyBorder="1" applyAlignment="1">
      <alignment vertical="center" wrapText="1"/>
    </xf>
    <xf numFmtId="10" fontId="56" fillId="8" borderId="0" xfId="8" applyNumberFormat="1" applyFont="1" applyFill="1" applyBorder="1" applyAlignment="1">
      <alignment horizontal="center" vertical="center" wrapText="1"/>
    </xf>
    <xf numFmtId="0" fontId="57" fillId="0" borderId="0" xfId="9" applyFont="1" applyAlignment="1">
      <alignment vertical="center"/>
    </xf>
    <xf numFmtId="0" fontId="52" fillId="0" borderId="23" xfId="9" applyFont="1" applyBorder="1" applyAlignment="1">
      <alignment horizontal="center" vertical="center" wrapText="1" readingOrder="1"/>
    </xf>
    <xf numFmtId="0" fontId="52" fillId="0" borderId="23" xfId="9" applyFont="1" applyBorder="1" applyAlignment="1">
      <alignment horizontal="left" vertical="center" wrapText="1" indent="1" readingOrder="1"/>
    </xf>
    <xf numFmtId="43" fontId="52" fillId="0" borderId="23" xfId="10" applyFont="1" applyBorder="1" applyAlignment="1">
      <alignment vertical="center" wrapText="1" readingOrder="1"/>
    </xf>
    <xf numFmtId="10" fontId="52" fillId="0" borderId="23" xfId="8" applyNumberFormat="1" applyFont="1" applyFill="1" applyBorder="1" applyAlignment="1">
      <alignment horizontal="center" vertical="center" wrapText="1" readingOrder="1"/>
    </xf>
    <xf numFmtId="7" fontId="49" fillId="0" borderId="0" xfId="9" applyNumberFormat="1" applyFont="1"/>
    <xf numFmtId="0" fontId="52" fillId="0" borderId="24" xfId="9" applyFont="1" applyBorder="1" applyAlignment="1">
      <alignment horizontal="center" vertical="center" wrapText="1" readingOrder="1"/>
    </xf>
    <xf numFmtId="0" fontId="52" fillId="0" borderId="24" xfId="9" applyFont="1" applyBorder="1" applyAlignment="1">
      <alignment horizontal="left" vertical="center" wrapText="1" indent="1" readingOrder="1"/>
    </xf>
    <xf numFmtId="43" fontId="54" fillId="7" borderId="0" xfId="10" applyFont="1" applyFill="1" applyBorder="1" applyAlignment="1">
      <alignment vertical="center" wrapText="1"/>
    </xf>
    <xf numFmtId="165" fontId="54" fillId="7" borderId="0" xfId="5" applyFont="1" applyFill="1">
      <alignment horizontal="center" vertical="center" wrapText="1"/>
    </xf>
    <xf numFmtId="43" fontId="56" fillId="3" borderId="21" xfId="10" applyFont="1" applyFill="1" applyBorder="1" applyAlignment="1">
      <alignment vertical="center" wrapText="1" readingOrder="1"/>
    </xf>
    <xf numFmtId="10" fontId="56" fillId="3" borderId="21" xfId="8" applyNumberFormat="1" applyFont="1" applyFill="1" applyBorder="1" applyAlignment="1">
      <alignment horizontal="center" vertical="center" wrapText="1" readingOrder="1"/>
    </xf>
    <xf numFmtId="0" fontId="49" fillId="0" borderId="0" xfId="9" applyFont="1" applyAlignment="1">
      <alignment horizontal="center"/>
    </xf>
    <xf numFmtId="169" fontId="49" fillId="0" borderId="0" xfId="10" applyNumberFormat="1" applyFont="1"/>
    <xf numFmtId="10" fontId="49" fillId="0" borderId="0" xfId="8" applyNumberFormat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4" fontId="14" fillId="3" borderId="1" xfId="2" applyNumberFormat="1" applyFont="1" applyFill="1" applyBorder="1" applyAlignment="1">
      <alignment horizontal="center" vertical="center" wrapText="1"/>
    </xf>
    <xf numFmtId="4" fontId="14" fillId="3" borderId="7" xfId="2" applyNumberFormat="1" applyFont="1" applyFill="1" applyBorder="1" applyAlignment="1">
      <alignment horizontal="center" vertical="center" wrapText="1"/>
    </xf>
    <xf numFmtId="49" fontId="14" fillId="3" borderId="2" xfId="1" applyNumberFormat="1" applyFont="1" applyFill="1" applyBorder="1" applyAlignment="1">
      <alignment horizontal="center" vertical="center" wrapText="1"/>
    </xf>
    <xf numFmtId="165" fontId="14" fillId="3" borderId="1" xfId="5" applyFont="1" applyFill="1" applyBorder="1" applyAlignment="1">
      <alignment horizontal="center" vertical="center"/>
    </xf>
    <xf numFmtId="165" fontId="14" fillId="3" borderId="7" xfId="5" applyFont="1" applyFill="1" applyBorder="1" applyAlignment="1">
      <alignment horizontal="center" vertical="center"/>
    </xf>
    <xf numFmtId="165" fontId="14" fillId="3" borderId="1" xfId="5" applyFont="1" applyFill="1" applyBorder="1">
      <alignment horizontal="center" vertical="center" wrapText="1"/>
    </xf>
    <xf numFmtId="165" fontId="14" fillId="3" borderId="7" xfId="5" applyFont="1" applyFill="1" applyBorder="1">
      <alignment horizontal="center" vertical="center" wrapText="1"/>
    </xf>
    <xf numFmtId="4" fontId="14" fillId="3" borderId="3" xfId="2" applyNumberFormat="1" applyFont="1" applyFill="1" applyBorder="1" applyAlignment="1">
      <alignment horizontal="center" vertical="center" wrapText="1"/>
    </xf>
    <xf numFmtId="4" fontId="14" fillId="3" borderId="4" xfId="2" applyNumberFormat="1" applyFont="1" applyFill="1" applyBorder="1" applyAlignment="1">
      <alignment horizontal="center" vertical="center" wrapText="1"/>
    </xf>
    <xf numFmtId="4" fontId="14" fillId="3" borderId="5" xfId="2" applyNumberFormat="1" applyFont="1" applyFill="1" applyBorder="1" applyAlignment="1">
      <alignment horizontal="center" vertical="center" wrapText="1"/>
    </xf>
    <xf numFmtId="4" fontId="14" fillId="3" borderId="8" xfId="2" applyNumberFormat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164" fontId="14" fillId="3" borderId="3" xfId="2" applyFont="1" applyFill="1" applyBorder="1" applyAlignment="1">
      <alignment horizontal="center" vertical="center" wrapText="1"/>
    </xf>
    <xf numFmtId="10" fontId="14" fillId="3" borderId="4" xfId="2" applyNumberFormat="1" applyFont="1" applyFill="1" applyBorder="1" applyAlignment="1">
      <alignment horizontal="center" vertical="center" wrapText="1"/>
    </xf>
    <xf numFmtId="0" fontId="48" fillId="0" borderId="20" xfId="9" applyFont="1" applyBorder="1" applyAlignment="1">
      <alignment horizontal="center" vertical="center" readingOrder="1"/>
    </xf>
    <xf numFmtId="165" fontId="56" fillId="8" borderId="0" xfId="5" applyFont="1" applyFill="1" applyAlignment="1">
      <alignment horizontal="left" vertical="center" wrapText="1"/>
    </xf>
    <xf numFmtId="0" fontId="56" fillId="3" borderId="25" xfId="9" applyFont="1" applyFill="1" applyBorder="1" applyAlignment="1">
      <alignment horizontal="left" vertical="center" wrapText="1" readingOrder="1"/>
    </xf>
    <xf numFmtId="0" fontId="56" fillId="3" borderId="26" xfId="9" applyFont="1" applyFill="1" applyBorder="1" applyAlignment="1">
      <alignment horizontal="left" vertical="center" wrapText="1" readingOrder="1"/>
    </xf>
    <xf numFmtId="0" fontId="56" fillId="3" borderId="27" xfId="9" applyFont="1" applyFill="1" applyBorder="1" applyAlignment="1">
      <alignment horizontal="left" vertical="center" wrapText="1" readingOrder="1"/>
    </xf>
  </cellXfs>
  <cellStyles count="11">
    <cellStyle name="Millares [0] 2 2" xfId="7" xr:uid="{DFE7862C-9536-4405-9742-EC666A56BF59}"/>
    <cellStyle name="Millares 2" xfId="2" xr:uid="{210801AB-3351-4588-B941-B2D6DA27270F}"/>
    <cellStyle name="Millares 3" xfId="10" xr:uid="{D021AD40-8622-4949-B8AD-E795A40085B4}"/>
    <cellStyle name="Nivel 1,2.3,5,6,9" xfId="5" xr:uid="{A9953957-A757-4A3D-A37E-BBEE6B3CE962}"/>
    <cellStyle name="NIVEL 8" xfId="6" xr:uid="{FB5835D4-A882-47D5-B7B0-430416987AA8}"/>
    <cellStyle name="Normal" xfId="0" builtinId="0"/>
    <cellStyle name="Normal 2" xfId="9" xr:uid="{8B0AC413-72B4-42AE-BA4A-CDB7F6359A8D}"/>
    <cellStyle name="Normal 2 2 2" xfId="4" xr:uid="{18B8809C-BA6C-4DA8-A694-4269FD6A0126}"/>
    <cellStyle name="Normal_EJECUCION NOVIEMBRE 2009" xfId="1" xr:uid="{7B8BB1A3-600D-4F28-A695-6F976157C6D5}"/>
    <cellStyle name="Porcentaje 2" xfId="3" xr:uid="{209A67A4-556E-4C24-9FF5-DD2697B242B1}"/>
    <cellStyle name="Porcentaje 3" xfId="8" xr:uid="{AC9EA9D0-4AE6-49E3-B994-4F16E19265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1" i="0" u="none" strike="noStrike" kern="1200" spc="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r>
              <a:rPr lang="es-CO" b="1"/>
              <a:t>PORCENTAJES DE COMPROMETIDO Y EJECUCIÓN DE INVERSIÓN POR ÁREAS </a:t>
            </a:r>
          </a:p>
          <a:p>
            <a:pPr>
              <a:defRPr b="1"/>
            </a:pPr>
            <a:r>
              <a:rPr lang="es-CO" b="1"/>
              <a:t>Corte: 15 de</a:t>
            </a:r>
            <a:r>
              <a:rPr lang="es-CO" b="1" baseline="0"/>
              <a:t> Noviembre de 2024</a:t>
            </a:r>
            <a:endParaRPr lang="es-CO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1" i="0" u="none" strike="noStrike" kern="1200" spc="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29572898700921246"/>
          <c:y val="0.13399242017824697"/>
          <c:w val="0.67454693991065684"/>
          <c:h val="0.8014627262501278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[1]VigenciaSIIF!$AH$13</c:f>
              <c:strCache>
                <c:ptCount val="1"/>
                <c:pt idx="0">
                  <c:v>%COMPROMETIDO</c:v>
                </c:pt>
              </c:strCache>
            </c:strRef>
          </c:tx>
          <c:spPr>
            <a:solidFill>
              <a:srgbClr val="FFC8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[1]VigenciaSIIF!$AD$14:$AD$20</c:f>
              <c:strCache>
                <c:ptCount val="7"/>
                <c:pt idx="0">
                  <c:v>DIRECCIÓN DE ACOMPAÑAMIENTO FAMILIAR Y COMUNITARIO</c:v>
                </c:pt>
                <c:pt idx="1">
                  <c:v>DIRECCIÓN DE INCLUSIÓN PRODUCTIVA</c:v>
                </c:pt>
                <c:pt idx="2">
                  <c:v>DIRECCIÓN DE INFRAESTRUCTURA SOCIAL Y HÁBITAT</c:v>
                </c:pt>
                <c:pt idx="3">
                  <c:v>DIRECCIÓN DE TRANSFERENCIAS MONETARIAS</c:v>
                </c:pt>
                <c:pt idx="4">
                  <c:v>OFICINA DE TECNOLOGÍAS DE LA INFORMACIÓN</c:v>
                </c:pt>
                <c:pt idx="5">
                  <c:v>SECRETARÍA GENERAL</c:v>
                </c:pt>
                <c:pt idx="6">
                  <c:v>TOTAL INVERSIÓN</c:v>
                </c:pt>
              </c:strCache>
            </c:strRef>
          </c:cat>
          <c:val>
            <c:numRef>
              <c:f>[1]VigenciaSIIF!$AH$14:$AH$20</c:f>
              <c:numCache>
                <c:formatCode>General</c:formatCode>
                <c:ptCount val="7"/>
                <c:pt idx="0">
                  <c:v>6.3456214756222221E-2</c:v>
                </c:pt>
                <c:pt idx="1">
                  <c:v>0.29868018865954093</c:v>
                </c:pt>
                <c:pt idx="2">
                  <c:v>0.86135765163402289</c:v>
                </c:pt>
                <c:pt idx="3">
                  <c:v>0.5713748095871235</c:v>
                </c:pt>
                <c:pt idx="4">
                  <c:v>0.69429467246833332</c:v>
                </c:pt>
                <c:pt idx="5">
                  <c:v>0.79838235898157794</c:v>
                </c:pt>
                <c:pt idx="6">
                  <c:v>0.57237939172719654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A2D-44B7-A253-4CDB2941C15F}"/>
            </c:ext>
          </c:extLst>
        </c:ser>
        <c:ser>
          <c:idx val="1"/>
          <c:order val="1"/>
          <c:tx>
            <c:strRef>
              <c:f>[1]VigenciaSIIF!$AI$13</c:f>
              <c:strCache>
                <c:ptCount val="1"/>
                <c:pt idx="0">
                  <c:v>%EJECUCIÓN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A2D-44B7-A253-4CDB2941C15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A2D-44B7-A253-4CDB2941C15F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A2D-44B7-A253-4CDB2941C15F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5A2D-44B7-A253-4CDB2941C15F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5A2D-44B7-A253-4CDB2941C15F}"/>
              </c:ext>
            </c:extLst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5A2D-44B7-A253-4CDB2941C15F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5A2D-44B7-A253-4CDB2941C1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[1]VigenciaSIIF!$AD$14:$AD$20</c:f>
              <c:strCache>
                <c:ptCount val="7"/>
                <c:pt idx="0">
                  <c:v>DIRECCIÓN DE ACOMPAÑAMIENTO FAMILIAR Y COMUNITARIO</c:v>
                </c:pt>
                <c:pt idx="1">
                  <c:v>DIRECCIÓN DE INCLUSIÓN PRODUCTIVA</c:v>
                </c:pt>
                <c:pt idx="2">
                  <c:v>DIRECCIÓN DE INFRAESTRUCTURA SOCIAL Y HÁBITAT</c:v>
                </c:pt>
                <c:pt idx="3">
                  <c:v>DIRECCIÓN DE TRANSFERENCIAS MONETARIAS</c:v>
                </c:pt>
                <c:pt idx="4">
                  <c:v>OFICINA DE TECNOLOGÍAS DE LA INFORMACIÓN</c:v>
                </c:pt>
                <c:pt idx="5">
                  <c:v>SECRETARÍA GENERAL</c:v>
                </c:pt>
                <c:pt idx="6">
                  <c:v>TOTAL INVERSIÓN</c:v>
                </c:pt>
              </c:strCache>
            </c:strRef>
          </c:cat>
          <c:val>
            <c:numRef>
              <c:f>[1]VigenciaSIIF!$AI$14:$AI$20</c:f>
              <c:numCache>
                <c:formatCode>General</c:formatCode>
                <c:ptCount val="7"/>
                <c:pt idx="0">
                  <c:v>3.1352335925888888E-2</c:v>
                </c:pt>
                <c:pt idx="1">
                  <c:v>0.13370537045092099</c:v>
                </c:pt>
                <c:pt idx="2">
                  <c:v>0.30876115437485502</c:v>
                </c:pt>
                <c:pt idx="3">
                  <c:v>0.52419270008516672</c:v>
                </c:pt>
                <c:pt idx="4">
                  <c:v>0.6074687505516666</c:v>
                </c:pt>
                <c:pt idx="5">
                  <c:v>0.53709000514696925</c:v>
                </c:pt>
                <c:pt idx="6">
                  <c:v>0.49013378431589161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A2D-44B7-A253-4CDB2941C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71116176"/>
        <c:axId val="1371122416"/>
        <c:extLst/>
      </c:barChart>
      <c:catAx>
        <c:axId val="1371116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371122416"/>
        <c:crosses val="autoZero"/>
        <c:auto val="1"/>
        <c:lblAlgn val="ctr"/>
        <c:lblOffset val="100"/>
        <c:noMultiLvlLbl val="0"/>
      </c:catAx>
      <c:valAx>
        <c:axId val="137112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37111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743710156677237"/>
          <c:y val="8.9528701220039808E-2"/>
          <c:w val="0.19541234373386668"/>
          <c:h val="2.9592177900839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83342</xdr:colOff>
      <xdr:row>1</xdr:row>
      <xdr:rowOff>195333</xdr:rowOff>
    </xdr:from>
    <xdr:to>
      <xdr:col>9</xdr:col>
      <xdr:colOff>23812</xdr:colOff>
      <xdr:row>3</xdr:row>
      <xdr:rowOff>164677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9ADF217-3E1C-47FB-865A-34D853A10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542" y="338208"/>
          <a:ext cx="1854995" cy="655144"/>
        </a:xfrm>
        <a:prstGeom prst="rect">
          <a:avLst/>
        </a:prstGeom>
      </xdr:spPr>
    </xdr:pic>
    <xdr:clientData/>
  </xdr:twoCellAnchor>
  <xdr:twoCellAnchor editAs="oneCell">
    <xdr:from>
      <xdr:col>9</xdr:col>
      <xdr:colOff>379682</xdr:colOff>
      <xdr:row>1</xdr:row>
      <xdr:rowOff>190503</xdr:rowOff>
    </xdr:from>
    <xdr:to>
      <xdr:col>11</xdr:col>
      <xdr:colOff>3015461</xdr:colOff>
      <xdr:row>3</xdr:row>
      <xdr:rowOff>159847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052D61-9752-4D13-8256-4ED441F5F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70407" y="333378"/>
          <a:ext cx="3378729" cy="6551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14</xdr:col>
      <xdr:colOff>9525</xdr:colOff>
      <xdr:row>81</xdr:row>
      <xdr:rowOff>174625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ACDA9F-29AA-4714-990B-C3C78F1899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190500</xdr:colOff>
      <xdr:row>0</xdr:row>
      <xdr:rowOff>95250</xdr:rowOff>
    </xdr:from>
    <xdr:to>
      <xdr:col>8</xdr:col>
      <xdr:colOff>1011869</xdr:colOff>
      <xdr:row>4</xdr:row>
      <xdr:rowOff>149344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364333A-75EC-4BB3-9316-14856EB60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4175" y="95250"/>
          <a:ext cx="2259644" cy="81609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avid.imedio\AppData\Local\Microsoft\Windows\INetCache\Content.Outlook\YBCRSIWK\EjecucionPresupuestal%20VIGENCIA%20Decreto%2015%20NOV.xlsx" TargetMode="External"/><Relationship Id="rId1" Type="http://schemas.openxmlformats.org/officeDocument/2006/relationships/externalLinkPath" Target="/Users/david.imedio/AppData/Local/Microsoft/Windows/INetCache/Content.Outlook/YBCRSIWK/EjecucionPresupuestal%20VIGENCIA%20Decreto%2015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igenciaSIIF"/>
      <sheetName val="Resumen Ejecución a 15-Nov-2024"/>
    </sheetNames>
    <sheetDataSet>
      <sheetData sheetId="0">
        <row r="1">
          <cell r="T1">
            <v>10765230649149</v>
          </cell>
          <cell r="U1">
            <v>698411453254.68994</v>
          </cell>
          <cell r="V1">
            <v>10030199345473.4</v>
          </cell>
          <cell r="W1">
            <v>36619850420.950996</v>
          </cell>
          <cell r="X1">
            <v>6163152372787.4102</v>
          </cell>
        </row>
        <row r="3">
          <cell r="C3" t="str">
            <v/>
          </cell>
          <cell r="N3" t="str">
            <v/>
          </cell>
          <cell r="T3" t="str">
            <v/>
          </cell>
          <cell r="U3" t="str">
            <v/>
          </cell>
          <cell r="V3" t="str">
            <v/>
          </cell>
          <cell r="W3" t="str">
            <v/>
          </cell>
          <cell r="X3" t="str">
            <v/>
          </cell>
          <cell r="Y3" t="str">
            <v/>
          </cell>
        </row>
        <row r="4">
          <cell r="C4" t="str">
            <v>RUBRO</v>
          </cell>
          <cell r="N4" t="str">
            <v>REC</v>
          </cell>
          <cell r="T4" t="str">
            <v>APR. VIGENTE</v>
          </cell>
          <cell r="U4" t="str">
            <v>APR BLOQUEADA</v>
          </cell>
          <cell r="V4" t="str">
            <v>CDP</v>
          </cell>
          <cell r="W4" t="str">
            <v>APR. DISPONIBLE</v>
          </cell>
          <cell r="X4" t="str">
            <v>COMPROMISO</v>
          </cell>
          <cell r="Y4" t="str">
            <v>OBLIGACION</v>
          </cell>
        </row>
        <row r="5">
          <cell r="C5" t="str">
            <v>A-01-01-01</v>
          </cell>
          <cell r="N5" t="str">
            <v>10</v>
          </cell>
          <cell r="T5">
            <v>109110000000</v>
          </cell>
          <cell r="U5">
            <v>0</v>
          </cell>
          <cell r="V5">
            <v>109110000000</v>
          </cell>
          <cell r="W5">
            <v>0</v>
          </cell>
          <cell r="X5">
            <v>66384598716</v>
          </cell>
          <cell r="Y5">
            <v>66314785081</v>
          </cell>
        </row>
        <row r="6">
          <cell r="C6" t="str">
            <v>A-01-01-02</v>
          </cell>
          <cell r="N6" t="str">
            <v>10</v>
          </cell>
          <cell r="T6">
            <v>39977000000</v>
          </cell>
          <cell r="U6">
            <v>0</v>
          </cell>
          <cell r="V6">
            <v>39977000000</v>
          </cell>
          <cell r="W6">
            <v>0</v>
          </cell>
          <cell r="X6">
            <v>24898034187</v>
          </cell>
          <cell r="Y6">
            <v>24890690713</v>
          </cell>
        </row>
        <row r="7">
          <cell r="C7" t="str">
            <v>A-01-01-03</v>
          </cell>
          <cell r="N7" t="str">
            <v>10</v>
          </cell>
          <cell r="T7">
            <v>11543000000</v>
          </cell>
          <cell r="U7">
            <v>0</v>
          </cell>
          <cell r="V7">
            <v>11543000000</v>
          </cell>
          <cell r="W7">
            <v>0</v>
          </cell>
          <cell r="X7">
            <v>8552754584.1300001</v>
          </cell>
          <cell r="Y7">
            <v>8531780887.1300001</v>
          </cell>
        </row>
        <row r="8">
          <cell r="C8" t="str">
            <v>A-02</v>
          </cell>
          <cell r="N8" t="str">
            <v>10</v>
          </cell>
          <cell r="T8">
            <v>48775000000</v>
          </cell>
          <cell r="U8">
            <v>0</v>
          </cell>
          <cell r="V8">
            <v>47523261410.050003</v>
          </cell>
          <cell r="W8">
            <v>1251738589.95</v>
          </cell>
          <cell r="X8">
            <v>41284649643.440002</v>
          </cell>
          <cell r="Y8">
            <v>31248930406.900002</v>
          </cell>
        </row>
        <row r="9">
          <cell r="C9" t="str">
            <v>A-03-04-02-012</v>
          </cell>
          <cell r="N9" t="str">
            <v>10</v>
          </cell>
          <cell r="T9">
            <v>765000000</v>
          </cell>
          <cell r="U9">
            <v>0</v>
          </cell>
          <cell r="V9">
            <v>765000000</v>
          </cell>
          <cell r="W9">
            <v>0</v>
          </cell>
          <cell r="X9">
            <v>464160659</v>
          </cell>
          <cell r="Y9">
            <v>291622373</v>
          </cell>
        </row>
        <row r="10">
          <cell r="C10" t="str">
            <v>A-03-10</v>
          </cell>
          <cell r="N10" t="str">
            <v>10</v>
          </cell>
          <cell r="T10">
            <v>2494170700</v>
          </cell>
          <cell r="U10">
            <v>0</v>
          </cell>
          <cell r="V10">
            <v>150956883</v>
          </cell>
          <cell r="W10">
            <v>2343213817</v>
          </cell>
          <cell r="X10">
            <v>150956883</v>
          </cell>
          <cell r="Y10">
            <v>150956883</v>
          </cell>
        </row>
        <row r="11">
          <cell r="C11" t="str">
            <v>A-08-01</v>
          </cell>
          <cell r="N11" t="str">
            <v>10</v>
          </cell>
          <cell r="T11">
            <v>216000000</v>
          </cell>
          <cell r="U11">
            <v>0</v>
          </cell>
          <cell r="V11">
            <v>209000000</v>
          </cell>
          <cell r="W11">
            <v>7000000</v>
          </cell>
          <cell r="X11">
            <v>134361131.24000001</v>
          </cell>
          <cell r="Y11">
            <v>134087827.23999999</v>
          </cell>
        </row>
        <row r="12">
          <cell r="C12" t="str">
            <v>A-08-04-01</v>
          </cell>
          <cell r="N12" t="str">
            <v>11</v>
          </cell>
          <cell r="T12">
            <v>32609649182</v>
          </cell>
          <cell r="U12">
            <v>0</v>
          </cell>
          <cell r="V12">
            <v>0</v>
          </cell>
          <cell r="W12">
            <v>32609649182</v>
          </cell>
          <cell r="X12">
            <v>0</v>
          </cell>
          <cell r="Y12">
            <v>0</v>
          </cell>
        </row>
        <row r="13">
          <cell r="C13" t="str">
            <v>C-4103-1500-21-705020</v>
          </cell>
          <cell r="N13" t="str">
            <v>11</v>
          </cell>
          <cell r="T13">
            <v>64886072564</v>
          </cell>
          <cell r="U13">
            <v>10538983</v>
          </cell>
          <cell r="V13">
            <v>64867611081</v>
          </cell>
          <cell r="W13">
            <v>7922500</v>
          </cell>
          <cell r="X13">
            <v>57271779208.900002</v>
          </cell>
          <cell r="Y13">
            <v>31356115150.5</v>
          </cell>
          <cell r="AH13" t="str">
            <v>%COMPROMETIDO</v>
          </cell>
          <cell r="AI13" t="str">
            <v>%EJECUCIÓN</v>
          </cell>
        </row>
        <row r="14">
          <cell r="C14" t="str">
            <v>C-4103-1500-22-20101I</v>
          </cell>
          <cell r="N14" t="str">
            <v>11</v>
          </cell>
          <cell r="T14">
            <v>8466347888</v>
          </cell>
          <cell r="U14">
            <v>4971700</v>
          </cell>
          <cell r="V14">
            <v>8461139188</v>
          </cell>
          <cell r="W14">
            <v>237000</v>
          </cell>
          <cell r="X14">
            <v>6343261611.6599998</v>
          </cell>
          <cell r="Y14">
            <v>2288531324.0300002</v>
          </cell>
          <cell r="AD14" t="str">
            <v>DIRECCIÓN DE ACOMPAÑAMIENTO FAMILIAR Y COMUNITARIO</v>
          </cell>
          <cell r="AH14">
            <v>6.3456214756222221E-2</v>
          </cell>
          <cell r="AI14">
            <v>3.1352335925888888E-2</v>
          </cell>
        </row>
        <row r="15">
          <cell r="C15" t="str">
            <v>C-4103-1500-25-20101A</v>
          </cell>
          <cell r="N15" t="str">
            <v>11</v>
          </cell>
          <cell r="T15">
            <v>16000000000</v>
          </cell>
          <cell r="U15">
            <v>21451838.68</v>
          </cell>
          <cell r="V15">
            <v>15978548161.32</v>
          </cell>
          <cell r="W15">
            <v>0</v>
          </cell>
          <cell r="X15">
            <v>10737999584.32</v>
          </cell>
          <cell r="Y15">
            <v>1337464466.3199999</v>
          </cell>
          <cell r="AD15" t="str">
            <v>DIRECCIÓN DE INCLUSIÓN PRODUCTIVA</v>
          </cell>
          <cell r="AH15">
            <v>0.29868018865954093</v>
          </cell>
          <cell r="AI15">
            <v>0.13370537045092099</v>
          </cell>
        </row>
        <row r="16">
          <cell r="C16" t="str">
            <v>C-4103-1500-26-20101I</v>
          </cell>
          <cell r="N16" t="str">
            <v>11</v>
          </cell>
          <cell r="T16">
            <v>12000000000</v>
          </cell>
          <cell r="U16">
            <v>0</v>
          </cell>
          <cell r="V16">
            <v>12000000000</v>
          </cell>
          <cell r="W16">
            <v>0</v>
          </cell>
          <cell r="X16">
            <v>9139789127</v>
          </cell>
          <cell r="Y16">
            <v>9139789127</v>
          </cell>
          <cell r="AD16" t="str">
            <v>DIRECCIÓN DE INFRAESTRUCTURA SOCIAL Y HÁBITAT</v>
          </cell>
          <cell r="AH16">
            <v>0.86135765163402289</v>
          </cell>
          <cell r="AI16">
            <v>0.30876115437485502</v>
          </cell>
        </row>
        <row r="17">
          <cell r="C17" t="str">
            <v>C-4103-1500-26-30206A</v>
          </cell>
          <cell r="N17" t="str">
            <v>11</v>
          </cell>
          <cell r="T17">
            <v>28000000000</v>
          </cell>
          <cell r="U17">
            <v>92478600</v>
          </cell>
          <cell r="V17">
            <v>27809488067</v>
          </cell>
          <cell r="W17">
            <v>98033333</v>
          </cell>
          <cell r="X17">
            <v>18397139599.200001</v>
          </cell>
          <cell r="Y17">
            <v>1489548515.48</v>
          </cell>
          <cell r="AD17" t="str">
            <v>DIRECCIÓN DE TRANSFERENCIAS MONETARIAS</v>
          </cell>
          <cell r="AH17">
            <v>0.5713748095871235</v>
          </cell>
          <cell r="AI17">
            <v>0.52419270008516672</v>
          </cell>
        </row>
        <row r="18">
          <cell r="C18" t="str">
            <v>C-4103-1500-27-30205B</v>
          </cell>
          <cell r="N18" t="str">
            <v>10</v>
          </cell>
          <cell r="T18">
            <v>500000000</v>
          </cell>
          <cell r="U18">
            <v>0</v>
          </cell>
          <cell r="V18">
            <v>500000000</v>
          </cell>
          <cell r="W18">
            <v>0</v>
          </cell>
          <cell r="X18">
            <v>0</v>
          </cell>
          <cell r="Y18">
            <v>0</v>
          </cell>
          <cell r="AD18" t="str">
            <v>OFICINA DE TECNOLOGÍAS DE LA INFORMACIÓN</v>
          </cell>
          <cell r="AH18">
            <v>0.69429467246833332</v>
          </cell>
          <cell r="AI18">
            <v>0.6074687505516666</v>
          </cell>
        </row>
        <row r="19">
          <cell r="C19" t="str">
            <v>C-4103-1500-28-201020</v>
          </cell>
          <cell r="N19" t="str">
            <v>10</v>
          </cell>
          <cell r="T19">
            <v>120965813197</v>
          </cell>
          <cell r="U19">
            <v>0</v>
          </cell>
          <cell r="V19">
            <v>120965813197</v>
          </cell>
          <cell r="W19">
            <v>0</v>
          </cell>
          <cell r="X19">
            <v>120965813197</v>
          </cell>
          <cell r="Y19">
            <v>64500604146.82</v>
          </cell>
          <cell r="AD19" t="str">
            <v>SECRETARÍA GENERAL</v>
          </cell>
          <cell r="AH19">
            <v>0.79838235898157794</v>
          </cell>
          <cell r="AI19">
            <v>0.53709000514696925</v>
          </cell>
        </row>
        <row r="20">
          <cell r="C20" t="str">
            <v>C-4103-1500-28-201020</v>
          </cell>
          <cell r="N20" t="str">
            <v>11</v>
          </cell>
          <cell r="T20">
            <v>518802439419</v>
          </cell>
          <cell r="U20">
            <v>8022441459.4700003</v>
          </cell>
          <cell r="V20">
            <v>510500953627.53003</v>
          </cell>
          <cell r="W20">
            <v>279044332</v>
          </cell>
          <cell r="X20">
            <v>430103466466.32001</v>
          </cell>
          <cell r="Y20">
            <v>133034980063.28</v>
          </cell>
          <cell r="AD20" t="str">
            <v>TOTAL INVERSIÓN</v>
          </cell>
          <cell r="AH20">
            <v>0.57237939172719654</v>
          </cell>
          <cell r="AI20">
            <v>0.49013378431589161</v>
          </cell>
        </row>
        <row r="21">
          <cell r="C21" t="str">
            <v>C-4103-1500-29-20101B</v>
          </cell>
          <cell r="N21" t="str">
            <v>10</v>
          </cell>
          <cell r="T21">
            <v>40000000000</v>
          </cell>
          <cell r="U21">
            <v>0</v>
          </cell>
          <cell r="V21">
            <v>40000000000</v>
          </cell>
          <cell r="W21">
            <v>0</v>
          </cell>
          <cell r="X21">
            <v>0</v>
          </cell>
          <cell r="Y21">
            <v>0</v>
          </cell>
        </row>
        <row r="22">
          <cell r="C22" t="str">
            <v>C-4103-1500-29-20101B</v>
          </cell>
          <cell r="N22" t="str">
            <v>11</v>
          </cell>
          <cell r="T22">
            <v>40000000000</v>
          </cell>
          <cell r="U22">
            <v>796452000</v>
          </cell>
          <cell r="V22">
            <v>39203548000</v>
          </cell>
          <cell r="W22">
            <v>0</v>
          </cell>
          <cell r="X22">
            <v>11422118656.120001</v>
          </cell>
          <cell r="Y22">
            <v>5643420466.6599998</v>
          </cell>
        </row>
        <row r="23">
          <cell r="C23" t="str">
            <v>C-4103-1500-30-20101A</v>
          </cell>
          <cell r="N23" t="str">
            <v>11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C24" t="str">
            <v>C-4103-1500-31-706010</v>
          </cell>
          <cell r="N24" t="str">
            <v>11</v>
          </cell>
          <cell r="T24">
            <v>566097299200</v>
          </cell>
          <cell r="U24">
            <v>379739499200</v>
          </cell>
          <cell r="V24">
            <v>186357800000</v>
          </cell>
          <cell r="W24">
            <v>0</v>
          </cell>
          <cell r="X24">
            <v>9409800000</v>
          </cell>
          <cell r="Y24">
            <v>9366600000</v>
          </cell>
        </row>
        <row r="25">
          <cell r="C25" t="str">
            <v>C-4103-1500-32-20101A</v>
          </cell>
          <cell r="N25" t="str">
            <v>10</v>
          </cell>
          <cell r="T25">
            <v>7804394728257</v>
          </cell>
          <cell r="U25">
            <v>233233617592</v>
          </cell>
          <cell r="V25">
            <v>7571159535665</v>
          </cell>
          <cell r="W25">
            <v>1575000</v>
          </cell>
          <cell r="X25">
            <v>4455484533003</v>
          </cell>
          <cell r="Y25">
            <v>4101737753206</v>
          </cell>
        </row>
        <row r="26">
          <cell r="C26" t="str">
            <v>C-4103-1500-32-20101A</v>
          </cell>
          <cell r="N26" t="str">
            <v>16</v>
          </cell>
          <cell r="T26">
            <v>941009196196</v>
          </cell>
          <cell r="U26">
            <v>0</v>
          </cell>
          <cell r="V26">
            <v>941009196196</v>
          </cell>
          <cell r="W26">
            <v>0</v>
          </cell>
          <cell r="X26">
            <v>855462905632</v>
          </cell>
          <cell r="Y26">
            <v>769916615067</v>
          </cell>
        </row>
        <row r="27">
          <cell r="C27" t="str">
            <v>C-4103-1500-33-53105B</v>
          </cell>
          <cell r="N27" t="str">
            <v>10</v>
          </cell>
          <cell r="T27">
            <v>35337347464</v>
          </cell>
          <cell r="U27">
            <v>7103195968.54</v>
          </cell>
          <cell r="V27">
            <v>28212714828.459999</v>
          </cell>
          <cell r="W27">
            <v>21436667</v>
          </cell>
          <cell r="X27">
            <v>28212714828.459999</v>
          </cell>
          <cell r="Y27">
            <v>18979336131.32</v>
          </cell>
        </row>
        <row r="28">
          <cell r="C28" t="str">
            <v>C-4103-1500-34-20101I</v>
          </cell>
          <cell r="N28" t="str">
            <v>11</v>
          </cell>
          <cell r="T28">
            <v>171281585082</v>
          </cell>
          <cell r="U28">
            <v>0</v>
          </cell>
          <cell r="V28">
            <v>171281585082</v>
          </cell>
          <cell r="W28">
            <v>0</v>
          </cell>
          <cell r="X28">
            <v>0</v>
          </cell>
          <cell r="Y28">
            <v>0</v>
          </cell>
        </row>
        <row r="29">
          <cell r="C29" t="str">
            <v>C-4103-1500-37-20307A</v>
          </cell>
          <cell r="N29" t="str">
            <v>10</v>
          </cell>
          <cell r="T29">
            <v>100000000000</v>
          </cell>
          <cell r="U29">
            <v>29000000000</v>
          </cell>
          <cell r="V29">
            <v>71000000000</v>
          </cell>
          <cell r="W29">
            <v>0</v>
          </cell>
          <cell r="X29">
            <v>0</v>
          </cell>
          <cell r="Y29">
            <v>0</v>
          </cell>
        </row>
        <row r="30">
          <cell r="C30" t="str">
            <v>C-4103-1500-38-30205B</v>
          </cell>
          <cell r="N30" t="str">
            <v>11</v>
          </cell>
          <cell r="T30">
            <v>40000000000</v>
          </cell>
          <cell r="U30">
            <v>40000000000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</row>
        <row r="31">
          <cell r="C31" t="str">
            <v>C-4199-1500-3-53105B</v>
          </cell>
          <cell r="N31" t="str">
            <v>10</v>
          </cell>
          <cell r="T31">
            <v>12000000000</v>
          </cell>
          <cell r="U31">
            <v>386805913</v>
          </cell>
          <cell r="V31">
            <v>11613194087</v>
          </cell>
          <cell r="W31">
            <v>0</v>
          </cell>
          <cell r="X31">
            <v>8331536069.6199999</v>
          </cell>
          <cell r="Y31">
            <v>7289625006.6199999</v>
          </cell>
        </row>
        <row r="32">
          <cell r="C32" t="str">
            <v/>
          </cell>
          <cell r="N32" t="str">
            <v/>
          </cell>
          <cell r="T32">
            <v>10765230649149</v>
          </cell>
          <cell r="U32">
            <v>698411453254.68994</v>
          </cell>
          <cell r="V32">
            <v>10030199345473.4</v>
          </cell>
          <cell r="W32">
            <v>36619850420.950996</v>
          </cell>
          <cell r="X32">
            <v>6163152372787.4102</v>
          </cell>
          <cell r="Y32">
            <v>5287643236842.2998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75B20-2881-4398-953A-2A8F37AFC4A2}">
  <sheetPr codeName="Hoja1">
    <pageSetUpPr fitToPage="1"/>
  </sheetPr>
  <dimension ref="A1:Z252"/>
  <sheetViews>
    <sheetView showGridLines="0" zoomScale="80" zoomScaleNormal="80" workbookViewId="0"/>
  </sheetViews>
  <sheetFormatPr baseColWidth="10" defaultColWidth="11.453125" defaultRowHeight="12.5" outlineLevelCol="1"/>
  <cols>
    <col min="1" max="1" width="1.1796875" style="184" customWidth="1"/>
    <col min="2" max="2" width="28.7265625" style="7" bestFit="1" customWidth="1"/>
    <col min="3" max="3" width="6.1796875" style="8" hidden="1" customWidth="1" outlineLevel="1"/>
    <col min="4" max="4" width="5.54296875" style="8" hidden="1" customWidth="1" outlineLevel="1"/>
    <col min="5" max="6" width="7.1796875" style="8" hidden="1" customWidth="1" outlineLevel="1"/>
    <col min="7" max="7" width="5.81640625" style="8" hidden="1" customWidth="1" outlineLevel="1"/>
    <col min="8" max="8" width="8.7265625" style="8" hidden="1" customWidth="1" outlineLevel="1"/>
    <col min="9" max="9" width="6.26953125" style="8" hidden="1" customWidth="1" outlineLevel="1"/>
    <col min="10" max="10" width="6.1796875" style="8" bestFit="1" customWidth="1" collapsed="1"/>
    <col min="11" max="11" width="5" style="8" bestFit="1" customWidth="1"/>
    <col min="12" max="12" width="67.7265625" style="196" customWidth="1"/>
    <col min="13" max="13" width="22.26953125" style="11" customWidth="1"/>
    <col min="14" max="14" width="21.81640625" style="11" customWidth="1" outlineLevel="1"/>
    <col min="15" max="15" width="18.453125" style="11" customWidth="1" outlineLevel="1"/>
    <col min="16" max="16" width="22.1796875" style="11" customWidth="1"/>
    <col min="17" max="18" width="20.1796875" style="11" customWidth="1"/>
    <col min="19" max="19" width="23.7265625" style="11" customWidth="1"/>
    <col min="20" max="20" width="22" style="11" customWidth="1"/>
    <col min="21" max="21" width="24.54296875" style="11" customWidth="1"/>
    <col min="22" max="22" width="12.81640625" style="11" customWidth="1"/>
    <col min="23" max="23" width="23.81640625" style="11" customWidth="1"/>
    <col min="24" max="24" width="12.54296875" style="11" customWidth="1"/>
    <col min="25" max="25" width="22" style="11" customWidth="1"/>
    <col min="26" max="26" width="12.7265625" style="11" customWidth="1"/>
    <col min="27" max="16384" width="11.453125" style="11"/>
  </cols>
  <sheetData>
    <row r="1" spans="1:26" s="7" customFormat="1" ht="11.2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185"/>
      <c r="M1" s="4">
        <v>6</v>
      </c>
      <c r="N1" s="5"/>
      <c r="O1" s="5"/>
      <c r="P1" s="5"/>
      <c r="Q1" s="5"/>
      <c r="R1" s="5"/>
      <c r="S1" s="5"/>
      <c r="T1" s="4">
        <v>13</v>
      </c>
      <c r="U1" s="5"/>
      <c r="V1" s="6"/>
      <c r="W1" s="4">
        <v>14</v>
      </c>
      <c r="X1" s="6"/>
      <c r="Y1" s="4">
        <v>16</v>
      </c>
      <c r="Z1" s="6"/>
    </row>
    <row r="2" spans="1:26" ht="25.5" customHeight="1">
      <c r="A2" s="1"/>
      <c r="B2" s="2"/>
      <c r="D2" s="9"/>
      <c r="E2" s="9"/>
      <c r="F2" s="9"/>
      <c r="G2" s="9"/>
      <c r="H2" s="9"/>
      <c r="I2" s="9"/>
      <c r="J2" s="9"/>
      <c r="K2" s="9"/>
      <c r="L2" s="10"/>
      <c r="M2" s="240" t="s">
        <v>0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</row>
    <row r="3" spans="1:26" ht="28.5" customHeight="1">
      <c r="A3" s="1"/>
      <c r="B3" s="2"/>
      <c r="D3" s="12"/>
      <c r="E3" s="12"/>
      <c r="F3" s="12"/>
      <c r="G3" s="12"/>
      <c r="H3" s="12"/>
      <c r="I3" s="12"/>
      <c r="J3" s="12"/>
      <c r="K3" s="12"/>
      <c r="L3" s="186"/>
      <c r="M3" s="241" t="s">
        <v>1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</row>
    <row r="4" spans="1:26" ht="15.75" customHeight="1">
      <c r="A4" s="1"/>
      <c r="B4" s="2"/>
      <c r="C4" s="13"/>
      <c r="D4" s="13"/>
      <c r="E4" s="13"/>
      <c r="F4" s="13"/>
      <c r="G4" s="13"/>
      <c r="H4" s="13"/>
      <c r="I4" s="14"/>
      <c r="J4" s="14"/>
      <c r="K4" s="14"/>
      <c r="L4" s="187"/>
      <c r="M4" s="15"/>
      <c r="N4" s="15"/>
      <c r="O4" s="15"/>
      <c r="P4" s="15"/>
      <c r="Q4" s="15"/>
      <c r="R4" s="15"/>
      <c r="S4" s="15"/>
      <c r="T4" s="15"/>
      <c r="U4" s="15"/>
      <c r="V4" s="16"/>
      <c r="W4" s="15"/>
      <c r="X4" s="16"/>
      <c r="Y4" s="15"/>
      <c r="Z4" s="16"/>
    </row>
    <row r="5" spans="1:26" s="19" customFormat="1" ht="25" customHeight="1">
      <c r="A5" s="17"/>
      <c r="B5" s="242" t="s">
        <v>2</v>
      </c>
      <c r="C5" s="244" t="s">
        <v>2</v>
      </c>
      <c r="D5" s="244"/>
      <c r="E5" s="244"/>
      <c r="F5" s="244"/>
      <c r="G5" s="244"/>
      <c r="H5" s="244"/>
      <c r="I5" s="244"/>
      <c r="J5" s="245" t="s">
        <v>3</v>
      </c>
      <c r="K5" s="245" t="s">
        <v>4</v>
      </c>
      <c r="L5" s="247" t="s">
        <v>5</v>
      </c>
      <c r="M5" s="242" t="s">
        <v>6</v>
      </c>
      <c r="N5" s="249" t="s">
        <v>7</v>
      </c>
      <c r="O5" s="250"/>
      <c r="P5" s="249" t="s">
        <v>8</v>
      </c>
      <c r="Q5" s="250"/>
      <c r="R5" s="242" t="s">
        <v>9</v>
      </c>
      <c r="S5" s="251" t="s">
        <v>10</v>
      </c>
      <c r="T5" s="253" t="s">
        <v>11</v>
      </c>
      <c r="U5" s="254"/>
      <c r="V5" s="255"/>
      <c r="W5" s="256" t="s">
        <v>12</v>
      </c>
      <c r="X5" s="257"/>
      <c r="Y5" s="253" t="s">
        <v>13</v>
      </c>
      <c r="Z5" s="255"/>
    </row>
    <row r="6" spans="1:26" s="19" customFormat="1" ht="28">
      <c r="A6" s="17"/>
      <c r="B6" s="243" t="s">
        <v>2</v>
      </c>
      <c r="C6" s="20" t="s">
        <v>14</v>
      </c>
      <c r="D6" s="20" t="s">
        <v>15</v>
      </c>
      <c r="E6" s="20" t="s">
        <v>16</v>
      </c>
      <c r="F6" s="20" t="s">
        <v>17</v>
      </c>
      <c r="G6" s="20" t="s">
        <v>18</v>
      </c>
      <c r="H6" s="20" t="s">
        <v>19</v>
      </c>
      <c r="I6" s="20" t="s">
        <v>20</v>
      </c>
      <c r="J6" s="246"/>
      <c r="K6" s="246" t="s">
        <v>21</v>
      </c>
      <c r="L6" s="248"/>
      <c r="M6" s="243"/>
      <c r="N6" s="21" t="s">
        <v>22</v>
      </c>
      <c r="O6" s="21" t="s">
        <v>23</v>
      </c>
      <c r="P6" s="21" t="s">
        <v>24</v>
      </c>
      <c r="Q6" s="21" t="s">
        <v>25</v>
      </c>
      <c r="R6" s="243"/>
      <c r="S6" s="252" t="s">
        <v>10</v>
      </c>
      <c r="T6" s="18" t="s">
        <v>26</v>
      </c>
      <c r="U6" s="18" t="s">
        <v>27</v>
      </c>
      <c r="V6" s="22" t="s">
        <v>28</v>
      </c>
      <c r="W6" s="18" t="s">
        <v>26</v>
      </c>
      <c r="X6" s="23" t="s">
        <v>29</v>
      </c>
      <c r="Y6" s="21" t="s">
        <v>26</v>
      </c>
      <c r="Z6" s="23" t="s">
        <v>30</v>
      </c>
    </row>
    <row r="7" spans="1:26" ht="32.15" customHeight="1">
      <c r="A7" s="26" t="e">
        <f>+CONCATENATE(#REF!,"=",J7)</f>
        <v>#REF!</v>
      </c>
      <c r="B7" s="27" t="str">
        <f>CONCATENATE(C8)</f>
        <v>A</v>
      </c>
      <c r="C7" s="28" t="s">
        <v>31</v>
      </c>
      <c r="D7" s="29"/>
      <c r="E7" s="29"/>
      <c r="F7" s="29"/>
      <c r="G7" s="29"/>
      <c r="H7" s="29"/>
      <c r="I7" s="30"/>
      <c r="J7" s="31"/>
      <c r="K7" s="31"/>
      <c r="L7" s="27" t="s">
        <v>32</v>
      </c>
      <c r="M7" s="32">
        <f t="shared" ref="M7:U7" si="0">+M8+M43+M94+M107</f>
        <v>212412470214</v>
      </c>
      <c r="N7" s="32">
        <f t="shared" si="0"/>
        <v>0</v>
      </c>
      <c r="O7" s="32">
        <f t="shared" si="0"/>
        <v>0</v>
      </c>
      <c r="P7" s="32">
        <f t="shared" si="0"/>
        <v>23037730404.739998</v>
      </c>
      <c r="Q7" s="32">
        <f t="shared" si="0"/>
        <v>23037730404.739998</v>
      </c>
      <c r="R7" s="32">
        <f>+R8+R43+R94+R107</f>
        <v>5880000000</v>
      </c>
      <c r="S7" s="32">
        <f t="shared" si="0"/>
        <v>206532470214</v>
      </c>
      <c r="T7" s="32">
        <f t="shared" si="0"/>
        <v>175658386516.84</v>
      </c>
      <c r="U7" s="32">
        <f t="shared" si="0"/>
        <v>30874083697.16</v>
      </c>
      <c r="V7" s="33">
        <f t="shared" ref="V7:V12" si="1">+IF(S7&gt;0,T7/S7,0)</f>
        <v>0.85051220437556563</v>
      </c>
      <c r="W7" s="34">
        <f>+W8+W43+W94+W107</f>
        <v>168898752826.69</v>
      </c>
      <c r="X7" s="33">
        <f>+W7/S7</f>
        <v>0.81778304714839478</v>
      </c>
      <c r="Y7" s="34">
        <f>+Y8+Y43+Y94+Y107</f>
        <v>168894829160.69</v>
      </c>
      <c r="Z7" s="33">
        <f>+Y7/S7</f>
        <v>0.81776404933175151</v>
      </c>
    </row>
    <row r="8" spans="1:26" ht="32.15" customHeight="1">
      <c r="A8" s="26" t="e">
        <f>+CONCATENATE(#REF!,"=",J8)</f>
        <v>#REF!</v>
      </c>
      <c r="B8" s="35" t="str">
        <f>CONCATENATE(C8,"-",D8)</f>
        <v>A-01</v>
      </c>
      <c r="C8" s="36" t="s">
        <v>31</v>
      </c>
      <c r="D8" s="37" t="s">
        <v>33</v>
      </c>
      <c r="E8" s="37"/>
      <c r="F8" s="37"/>
      <c r="G8" s="37"/>
      <c r="H8" s="37"/>
      <c r="I8" s="38"/>
      <c r="J8" s="39"/>
      <c r="K8" s="39"/>
      <c r="L8" s="35" t="s">
        <v>34</v>
      </c>
      <c r="M8" s="40">
        <f>+M9</f>
        <v>128915000000</v>
      </c>
      <c r="N8" s="40">
        <f t="shared" ref="N8:Y8" si="2">+N9</f>
        <v>0</v>
      </c>
      <c r="O8" s="40">
        <f t="shared" si="2"/>
        <v>0</v>
      </c>
      <c r="P8" s="40">
        <f>+P9</f>
        <v>7477000000</v>
      </c>
      <c r="Q8" s="40">
        <f t="shared" si="2"/>
        <v>7477000000</v>
      </c>
      <c r="R8" s="40">
        <f t="shared" si="2"/>
        <v>0</v>
      </c>
      <c r="S8" s="40">
        <f t="shared" si="2"/>
        <v>128915000000</v>
      </c>
      <c r="T8" s="40">
        <f t="shared" si="2"/>
        <v>120249879814</v>
      </c>
      <c r="U8" s="40">
        <f t="shared" si="2"/>
        <v>8665120186</v>
      </c>
      <c r="V8" s="41">
        <f t="shared" si="1"/>
        <v>0.93278423623317686</v>
      </c>
      <c r="W8" s="42">
        <f t="shared" si="2"/>
        <v>120217104311</v>
      </c>
      <c r="X8" s="41">
        <f t="shared" ref="X8:X71" si="3">+W8/S8</f>
        <v>0.93252999504324552</v>
      </c>
      <c r="Y8" s="42">
        <f t="shared" si="2"/>
        <v>120217104311</v>
      </c>
      <c r="Z8" s="41">
        <f t="shared" ref="Z8:Z71" si="4">+Y8/S8</f>
        <v>0.93252999504324552</v>
      </c>
    </row>
    <row r="9" spans="1:26" ht="32.15" customHeight="1">
      <c r="A9" s="26" t="e">
        <f>+CONCATENATE(#REF!,"=",J9)</f>
        <v>#REF!</v>
      </c>
      <c r="B9" s="43" t="str">
        <f>CONCATENATE(C9,"-",D9,"-",E9)</f>
        <v>A-01-01</v>
      </c>
      <c r="C9" s="44" t="s">
        <v>31</v>
      </c>
      <c r="D9" s="45" t="s">
        <v>33</v>
      </c>
      <c r="E9" s="45" t="s">
        <v>33</v>
      </c>
      <c r="F9" s="45"/>
      <c r="G9" s="45"/>
      <c r="H9" s="45"/>
      <c r="I9" s="46"/>
      <c r="J9" s="47"/>
      <c r="K9" s="47"/>
      <c r="L9" s="43" t="s">
        <v>35</v>
      </c>
      <c r="M9" s="48">
        <f t="shared" ref="M9:U9" si="5">+M10+M22+M32</f>
        <v>128915000000</v>
      </c>
      <c r="N9" s="48">
        <f t="shared" si="5"/>
        <v>0</v>
      </c>
      <c r="O9" s="48">
        <f t="shared" si="5"/>
        <v>0</v>
      </c>
      <c r="P9" s="48">
        <f t="shared" si="5"/>
        <v>7477000000</v>
      </c>
      <c r="Q9" s="48">
        <f t="shared" si="5"/>
        <v>7477000000</v>
      </c>
      <c r="R9" s="48">
        <f t="shared" si="5"/>
        <v>0</v>
      </c>
      <c r="S9" s="48">
        <f t="shared" si="5"/>
        <v>128915000000</v>
      </c>
      <c r="T9" s="48">
        <f t="shared" si="5"/>
        <v>120249879814</v>
      </c>
      <c r="U9" s="48">
        <f t="shared" si="5"/>
        <v>8665120186</v>
      </c>
      <c r="V9" s="49">
        <f t="shared" si="1"/>
        <v>0.93278423623317686</v>
      </c>
      <c r="W9" s="50">
        <f>+W10+W22+W32</f>
        <v>120217104311</v>
      </c>
      <c r="X9" s="49">
        <f t="shared" si="3"/>
        <v>0.93252999504324552</v>
      </c>
      <c r="Y9" s="50">
        <f>+Y10+Y22+Y32</f>
        <v>120217104311</v>
      </c>
      <c r="Z9" s="49">
        <f t="shared" si="4"/>
        <v>0.93252999504324552</v>
      </c>
    </row>
    <row r="10" spans="1:26" ht="32.15" customHeight="1">
      <c r="A10" s="26" t="e">
        <f>+CONCATENATE(#REF!,"=",J10)</f>
        <v>#REF!</v>
      </c>
      <c r="B10" s="51" t="str">
        <f>CONCATENATE(C10,"-",D10,"-",E10,"-",F10)</f>
        <v>A-01-01-01</v>
      </c>
      <c r="C10" s="52" t="s">
        <v>31</v>
      </c>
      <c r="D10" s="53" t="s">
        <v>33</v>
      </c>
      <c r="E10" s="53" t="s">
        <v>33</v>
      </c>
      <c r="F10" s="53" t="s">
        <v>33</v>
      </c>
      <c r="G10" s="53"/>
      <c r="H10" s="53"/>
      <c r="I10" s="54"/>
      <c r="J10" s="55" t="s">
        <v>36</v>
      </c>
      <c r="K10" s="55" t="s">
        <v>37</v>
      </c>
      <c r="L10" s="51" t="s">
        <v>38</v>
      </c>
      <c r="M10" s="56">
        <f>SUM(M11)</f>
        <v>87725000000</v>
      </c>
      <c r="N10" s="56">
        <f t="shared" ref="N10:Y10" si="6">SUM(N11)</f>
        <v>0</v>
      </c>
      <c r="O10" s="56">
        <f t="shared" si="6"/>
        <v>0</v>
      </c>
      <c r="P10" s="56">
        <f t="shared" si="6"/>
        <v>3200000000</v>
      </c>
      <c r="Q10" s="56">
        <f t="shared" si="6"/>
        <v>5700000000</v>
      </c>
      <c r="R10" s="56">
        <f t="shared" si="6"/>
        <v>0</v>
      </c>
      <c r="S10" s="56">
        <f t="shared" si="6"/>
        <v>85225000000</v>
      </c>
      <c r="T10" s="56">
        <f t="shared" si="6"/>
        <v>80506655512</v>
      </c>
      <c r="U10" s="56">
        <f t="shared" si="6"/>
        <v>4718344488</v>
      </c>
      <c r="V10" s="57">
        <f t="shared" si="1"/>
        <v>0.9446366149838662</v>
      </c>
      <c r="W10" s="58">
        <f t="shared" si="6"/>
        <v>80473880009</v>
      </c>
      <c r="X10" s="57">
        <f t="shared" si="3"/>
        <v>0.94425203882663533</v>
      </c>
      <c r="Y10" s="58">
        <f t="shared" si="6"/>
        <v>80473880009</v>
      </c>
      <c r="Z10" s="57">
        <f t="shared" si="4"/>
        <v>0.94425203882663533</v>
      </c>
    </row>
    <row r="11" spans="1:26" ht="32.15" customHeight="1">
      <c r="A11" s="26" t="e">
        <f>+CONCATENATE(#REF!,"=",J11)</f>
        <v>#REF!</v>
      </c>
      <c r="B11" s="59" t="str">
        <f>CONCATENATE(C11,"-",D11,"-",E11,"-",F11,"-",G11)</f>
        <v>A-01-01-01-001</v>
      </c>
      <c r="C11" s="60" t="s">
        <v>31</v>
      </c>
      <c r="D11" s="61" t="s">
        <v>33</v>
      </c>
      <c r="E11" s="61" t="s">
        <v>33</v>
      </c>
      <c r="F11" s="61" t="s">
        <v>33</v>
      </c>
      <c r="G11" s="61" t="s">
        <v>39</v>
      </c>
      <c r="H11" s="61"/>
      <c r="I11" s="62"/>
      <c r="J11" s="63" t="s">
        <v>36</v>
      </c>
      <c r="K11" s="63" t="s">
        <v>37</v>
      </c>
      <c r="L11" s="59" t="s">
        <v>40</v>
      </c>
      <c r="M11" s="64">
        <f>SUM(M12:M21)</f>
        <v>87725000000</v>
      </c>
      <c r="N11" s="64">
        <f t="shared" ref="N11:U11" si="7">SUM(N12:N21)</f>
        <v>0</v>
      </c>
      <c r="O11" s="64">
        <f t="shared" si="7"/>
        <v>0</v>
      </c>
      <c r="P11" s="64">
        <f t="shared" si="7"/>
        <v>3200000000</v>
      </c>
      <c r="Q11" s="64">
        <f t="shared" si="7"/>
        <v>5700000000</v>
      </c>
      <c r="R11" s="64">
        <f t="shared" si="7"/>
        <v>0</v>
      </c>
      <c r="S11" s="64">
        <f t="shared" si="7"/>
        <v>85225000000</v>
      </c>
      <c r="T11" s="64">
        <f t="shared" si="7"/>
        <v>80506655512</v>
      </c>
      <c r="U11" s="64">
        <f t="shared" si="7"/>
        <v>4718344488</v>
      </c>
      <c r="V11" s="65">
        <f t="shared" si="1"/>
        <v>0.9446366149838662</v>
      </c>
      <c r="W11" s="64">
        <f>SUM(W12:W21)</f>
        <v>80473880009</v>
      </c>
      <c r="X11" s="65">
        <f t="shared" si="3"/>
        <v>0.94425203882663533</v>
      </c>
      <c r="Y11" s="64">
        <f>SUM(Y12:Y21)</f>
        <v>80473880009</v>
      </c>
      <c r="Z11" s="65">
        <f t="shared" si="4"/>
        <v>0.94425203882663533</v>
      </c>
    </row>
    <row r="12" spans="1:26" ht="28.5" customHeight="1">
      <c r="A12" s="26" t="e">
        <f>+CONCATENATE(#REF!,"=",J12)</f>
        <v>#REF!</v>
      </c>
      <c r="B12" s="66" t="str">
        <f>CONCATENATE(C12,"-",D12,"-",E12,"-",F12,"-",G12,"-",H12)</f>
        <v>A-01-01-01-001-001</v>
      </c>
      <c r="C12" s="67" t="s">
        <v>31</v>
      </c>
      <c r="D12" s="68" t="s">
        <v>33</v>
      </c>
      <c r="E12" s="68" t="s">
        <v>33</v>
      </c>
      <c r="F12" s="68" t="s">
        <v>33</v>
      </c>
      <c r="G12" s="68" t="s">
        <v>39</v>
      </c>
      <c r="H12" s="68" t="s">
        <v>39</v>
      </c>
      <c r="I12" s="69"/>
      <c r="J12" s="70" t="s">
        <v>36</v>
      </c>
      <c r="K12" s="71" t="s">
        <v>37</v>
      </c>
      <c r="L12" s="72" t="s">
        <v>41</v>
      </c>
      <c r="M12" s="73">
        <v>71741000000</v>
      </c>
      <c r="N12" s="73"/>
      <c r="O12" s="73"/>
      <c r="P12" s="74"/>
      <c r="Q12" s="73">
        <f>1100000000+2500000000+1400000000</f>
        <v>5000000000</v>
      </c>
      <c r="R12" s="74"/>
      <c r="S12" s="73">
        <f t="shared" ref="S12:S21" si="8">+M12-R12+N12-O12+P12-Q12</f>
        <v>66741000000</v>
      </c>
      <c r="T12" s="73">
        <v>63546420915</v>
      </c>
      <c r="U12" s="73">
        <f t="shared" ref="U12:U114" si="9">+S12-T12</f>
        <v>3194579085</v>
      </c>
      <c r="V12" s="75">
        <f t="shared" si="1"/>
        <v>0.95213468355283859</v>
      </c>
      <c r="W12" s="76">
        <v>63546420915</v>
      </c>
      <c r="X12" s="75">
        <f t="shared" si="3"/>
        <v>0.95213468355283859</v>
      </c>
      <c r="Y12" s="76">
        <v>63546420915</v>
      </c>
      <c r="Z12" s="75">
        <f t="shared" si="4"/>
        <v>0.95213468355283859</v>
      </c>
    </row>
    <row r="13" spans="1:26" ht="28.5" customHeight="1">
      <c r="A13" s="26" t="e">
        <f>+CONCATENATE(#REF!,"=",J13)</f>
        <v>#REF!</v>
      </c>
      <c r="B13" s="66" t="str">
        <f t="shared" ref="B13:B21" si="10">CONCATENATE(C13,"-",D13,"-",E13,"-",F13,"-",G13,"-",H13)</f>
        <v>A-01-01-01-001-002</v>
      </c>
      <c r="C13" s="67" t="s">
        <v>31</v>
      </c>
      <c r="D13" s="68" t="s">
        <v>33</v>
      </c>
      <c r="E13" s="68" t="s">
        <v>33</v>
      </c>
      <c r="F13" s="68" t="s">
        <v>33</v>
      </c>
      <c r="G13" s="68" t="s">
        <v>39</v>
      </c>
      <c r="H13" s="68" t="s">
        <v>42</v>
      </c>
      <c r="I13" s="69"/>
      <c r="J13" s="70" t="s">
        <v>36</v>
      </c>
      <c r="K13" s="71" t="s">
        <v>37</v>
      </c>
      <c r="L13" s="72" t="s">
        <v>43</v>
      </c>
      <c r="M13" s="73">
        <v>360000000</v>
      </c>
      <c r="N13" s="73"/>
      <c r="O13" s="73"/>
      <c r="P13" s="74"/>
      <c r="Q13" s="74"/>
      <c r="R13" s="73"/>
      <c r="S13" s="73">
        <f t="shared" si="8"/>
        <v>360000000</v>
      </c>
      <c r="T13" s="73">
        <v>329263098</v>
      </c>
      <c r="U13" s="73">
        <f t="shared" si="9"/>
        <v>30736902</v>
      </c>
      <c r="V13" s="75">
        <f>+IF(S13&gt;0,T13/S13,0)</f>
        <v>0.91461971666666664</v>
      </c>
      <c r="W13" s="76">
        <v>329263098</v>
      </c>
      <c r="X13" s="75">
        <f t="shared" si="3"/>
        <v>0.91461971666666664</v>
      </c>
      <c r="Y13" s="76">
        <v>329263098</v>
      </c>
      <c r="Z13" s="75">
        <f t="shared" si="4"/>
        <v>0.91461971666666664</v>
      </c>
    </row>
    <row r="14" spans="1:26" ht="28.5" customHeight="1">
      <c r="A14" s="26" t="e">
        <f>+CONCATENATE(#REF!,"=",J14)</f>
        <v>#REF!</v>
      </c>
      <c r="B14" s="66" t="str">
        <f t="shared" si="10"/>
        <v>A-01-01-01-001-003</v>
      </c>
      <c r="C14" s="67" t="s">
        <v>31</v>
      </c>
      <c r="D14" s="68" t="s">
        <v>33</v>
      </c>
      <c r="E14" s="68" t="s">
        <v>33</v>
      </c>
      <c r="F14" s="68" t="s">
        <v>33</v>
      </c>
      <c r="G14" s="68" t="s">
        <v>39</v>
      </c>
      <c r="H14" s="68" t="s">
        <v>44</v>
      </c>
      <c r="I14" s="69"/>
      <c r="J14" s="70" t="s">
        <v>36</v>
      </c>
      <c r="K14" s="71" t="s">
        <v>37</v>
      </c>
      <c r="L14" s="72" t="s">
        <v>45</v>
      </c>
      <c r="M14" s="73">
        <v>840000000</v>
      </c>
      <c r="N14" s="73"/>
      <c r="O14" s="73"/>
      <c r="P14" s="73">
        <f>300000000</f>
        <v>300000000</v>
      </c>
      <c r="Q14" s="74"/>
      <c r="R14" s="73"/>
      <c r="S14" s="73">
        <f t="shared" si="8"/>
        <v>1140000000</v>
      </c>
      <c r="T14" s="73">
        <v>1023914930</v>
      </c>
      <c r="U14" s="73">
        <f t="shared" si="9"/>
        <v>116085070</v>
      </c>
      <c r="V14" s="75">
        <f t="shared" ref="V14:V86" si="11">+IF(S14&gt;0,T14/S14,0)</f>
        <v>0.8981709912280702</v>
      </c>
      <c r="W14" s="76">
        <v>1023914930</v>
      </c>
      <c r="X14" s="75">
        <f t="shared" si="3"/>
        <v>0.8981709912280702</v>
      </c>
      <c r="Y14" s="76">
        <v>1023914930</v>
      </c>
      <c r="Z14" s="75">
        <f t="shared" si="4"/>
        <v>0.8981709912280702</v>
      </c>
    </row>
    <row r="15" spans="1:26" ht="28.5" customHeight="1">
      <c r="A15" s="26" t="e">
        <f>+CONCATENATE(#REF!,"=",J15)</f>
        <v>#REF!</v>
      </c>
      <c r="B15" s="66" t="str">
        <f t="shared" si="10"/>
        <v>A-01-01-01-001-004</v>
      </c>
      <c r="C15" s="67" t="s">
        <v>31</v>
      </c>
      <c r="D15" s="68" t="s">
        <v>33</v>
      </c>
      <c r="E15" s="68" t="s">
        <v>33</v>
      </c>
      <c r="F15" s="68" t="s">
        <v>33</v>
      </c>
      <c r="G15" s="68" t="s">
        <v>39</v>
      </c>
      <c r="H15" s="68" t="s">
        <v>46</v>
      </c>
      <c r="I15" s="69"/>
      <c r="J15" s="70" t="s">
        <v>36</v>
      </c>
      <c r="K15" s="71" t="s">
        <v>37</v>
      </c>
      <c r="L15" s="72" t="s">
        <v>47</v>
      </c>
      <c r="M15" s="73">
        <v>180000000</v>
      </c>
      <c r="N15" s="73"/>
      <c r="O15" s="73"/>
      <c r="P15" s="74"/>
      <c r="Q15" s="74"/>
      <c r="R15" s="73"/>
      <c r="S15" s="73">
        <f t="shared" si="8"/>
        <v>180000000</v>
      </c>
      <c r="T15" s="73">
        <v>96022129</v>
      </c>
      <c r="U15" s="73">
        <f t="shared" si="9"/>
        <v>83977871</v>
      </c>
      <c r="V15" s="75">
        <f t="shared" si="11"/>
        <v>0.53345627222222225</v>
      </c>
      <c r="W15" s="76">
        <v>96022129</v>
      </c>
      <c r="X15" s="75">
        <f t="shared" si="3"/>
        <v>0.53345627222222225</v>
      </c>
      <c r="Y15" s="76">
        <v>96022129</v>
      </c>
      <c r="Z15" s="75">
        <f t="shared" si="4"/>
        <v>0.53345627222222225</v>
      </c>
    </row>
    <row r="16" spans="1:26" ht="28.5" customHeight="1">
      <c r="A16" s="26" t="e">
        <f>+CONCATENATE(#REF!,"=",J16)</f>
        <v>#REF!</v>
      </c>
      <c r="B16" s="66" t="str">
        <f t="shared" si="10"/>
        <v>A-01-01-01-001-005</v>
      </c>
      <c r="C16" s="67" t="s">
        <v>31</v>
      </c>
      <c r="D16" s="68" t="s">
        <v>33</v>
      </c>
      <c r="E16" s="68" t="s">
        <v>33</v>
      </c>
      <c r="F16" s="68" t="s">
        <v>33</v>
      </c>
      <c r="G16" s="68" t="s">
        <v>39</v>
      </c>
      <c r="H16" s="68" t="s">
        <v>48</v>
      </c>
      <c r="I16" s="69"/>
      <c r="J16" s="70" t="s">
        <v>36</v>
      </c>
      <c r="K16" s="71" t="s">
        <v>37</v>
      </c>
      <c r="L16" s="72" t="s">
        <v>49</v>
      </c>
      <c r="M16" s="73">
        <v>204000000</v>
      </c>
      <c r="N16" s="73"/>
      <c r="O16" s="73"/>
      <c r="P16" s="74"/>
      <c r="Q16" s="74"/>
      <c r="R16" s="73"/>
      <c r="S16" s="73">
        <f t="shared" si="8"/>
        <v>204000000</v>
      </c>
      <c r="T16" s="73">
        <v>139429392</v>
      </c>
      <c r="U16" s="73">
        <f t="shared" si="9"/>
        <v>64570608</v>
      </c>
      <c r="V16" s="75">
        <f t="shared" si="11"/>
        <v>0.68347741176470589</v>
      </c>
      <c r="W16" s="76">
        <v>139429392</v>
      </c>
      <c r="X16" s="75">
        <f t="shared" si="3"/>
        <v>0.68347741176470589</v>
      </c>
      <c r="Y16" s="76">
        <v>139429392</v>
      </c>
      <c r="Z16" s="75">
        <f t="shared" si="4"/>
        <v>0.68347741176470589</v>
      </c>
    </row>
    <row r="17" spans="1:26" ht="28.5" customHeight="1">
      <c r="A17" s="26" t="e">
        <f>+CONCATENATE(#REF!,"=",J17)</f>
        <v>#REF!</v>
      </c>
      <c r="B17" s="66" t="str">
        <f t="shared" si="10"/>
        <v>A-01-01-01-001-006</v>
      </c>
      <c r="C17" s="67" t="s">
        <v>31</v>
      </c>
      <c r="D17" s="68" t="s">
        <v>33</v>
      </c>
      <c r="E17" s="68" t="s">
        <v>33</v>
      </c>
      <c r="F17" s="68" t="s">
        <v>33</v>
      </c>
      <c r="G17" s="68" t="s">
        <v>39</v>
      </c>
      <c r="H17" s="68" t="s">
        <v>50</v>
      </c>
      <c r="I17" s="69"/>
      <c r="J17" s="70" t="s">
        <v>36</v>
      </c>
      <c r="K17" s="71" t="s">
        <v>37</v>
      </c>
      <c r="L17" s="72" t="s">
        <v>51</v>
      </c>
      <c r="M17" s="73">
        <v>3000000000</v>
      </c>
      <c r="N17" s="73"/>
      <c r="O17" s="73"/>
      <c r="P17" s="74">
        <v>700000000</v>
      </c>
      <c r="Q17" s="74"/>
      <c r="R17" s="73"/>
      <c r="S17" s="73">
        <f t="shared" si="8"/>
        <v>3700000000</v>
      </c>
      <c r="T17" s="73">
        <v>3017688768</v>
      </c>
      <c r="U17" s="73">
        <f t="shared" si="9"/>
        <v>682311232</v>
      </c>
      <c r="V17" s="75">
        <f t="shared" si="11"/>
        <v>0.81559155891891888</v>
      </c>
      <c r="W17" s="76">
        <v>3017688768</v>
      </c>
      <c r="X17" s="75">
        <f t="shared" si="3"/>
        <v>0.81559155891891888</v>
      </c>
      <c r="Y17" s="76">
        <v>3017688768</v>
      </c>
      <c r="Z17" s="75">
        <f t="shared" si="4"/>
        <v>0.81559155891891888</v>
      </c>
    </row>
    <row r="18" spans="1:26" ht="28.5" customHeight="1">
      <c r="A18" s="26" t="e">
        <f>+CONCATENATE(#REF!,"=",J18)</f>
        <v>#REF!</v>
      </c>
      <c r="B18" s="66" t="str">
        <f t="shared" si="10"/>
        <v>A-01-01-01-001-007</v>
      </c>
      <c r="C18" s="67" t="s">
        <v>31</v>
      </c>
      <c r="D18" s="68" t="s">
        <v>33</v>
      </c>
      <c r="E18" s="68" t="s">
        <v>33</v>
      </c>
      <c r="F18" s="68" t="s">
        <v>33</v>
      </c>
      <c r="G18" s="68" t="s">
        <v>39</v>
      </c>
      <c r="H18" s="68" t="s">
        <v>52</v>
      </c>
      <c r="I18" s="69"/>
      <c r="J18" s="70" t="s">
        <v>36</v>
      </c>
      <c r="K18" s="71" t="s">
        <v>37</v>
      </c>
      <c r="L18" s="72" t="s">
        <v>53</v>
      </c>
      <c r="M18" s="73">
        <v>2000000000</v>
      </c>
      <c r="N18" s="73"/>
      <c r="O18" s="73"/>
      <c r="P18" s="73">
        <f>200000000</f>
        <v>200000000</v>
      </c>
      <c r="Q18" s="74"/>
      <c r="R18" s="73"/>
      <c r="S18" s="73">
        <f t="shared" si="8"/>
        <v>2200000000</v>
      </c>
      <c r="T18" s="73">
        <v>2103261021</v>
      </c>
      <c r="U18" s="73">
        <f t="shared" si="9"/>
        <v>96738979</v>
      </c>
      <c r="V18" s="75">
        <f t="shared" si="11"/>
        <v>0.95602773681818187</v>
      </c>
      <c r="W18" s="76">
        <v>2103261021</v>
      </c>
      <c r="X18" s="75">
        <f t="shared" si="3"/>
        <v>0.95602773681818187</v>
      </c>
      <c r="Y18" s="76">
        <v>2103261021</v>
      </c>
      <c r="Z18" s="75">
        <f t="shared" si="4"/>
        <v>0.95602773681818187</v>
      </c>
    </row>
    <row r="19" spans="1:26" ht="28.5" customHeight="1">
      <c r="A19" s="26" t="e">
        <f>+CONCATENATE(#REF!,"=",J19)</f>
        <v>#REF!</v>
      </c>
      <c r="B19" s="66" t="str">
        <f t="shared" si="10"/>
        <v>A-01-01-01-001-008</v>
      </c>
      <c r="C19" s="67" t="s">
        <v>31</v>
      </c>
      <c r="D19" s="68" t="s">
        <v>33</v>
      </c>
      <c r="E19" s="68" t="s">
        <v>33</v>
      </c>
      <c r="F19" s="68" t="s">
        <v>33</v>
      </c>
      <c r="G19" s="68" t="s">
        <v>39</v>
      </c>
      <c r="H19" s="68" t="s">
        <v>54</v>
      </c>
      <c r="I19" s="69"/>
      <c r="J19" s="70" t="s">
        <v>36</v>
      </c>
      <c r="K19" s="71" t="s">
        <v>37</v>
      </c>
      <c r="L19" s="72" t="s">
        <v>55</v>
      </c>
      <c r="M19" s="73">
        <v>200000000</v>
      </c>
      <c r="N19" s="73"/>
      <c r="O19" s="73"/>
      <c r="P19" s="74"/>
      <c r="Q19" s="74"/>
      <c r="R19" s="73"/>
      <c r="S19" s="73">
        <f t="shared" si="8"/>
        <v>200000000</v>
      </c>
      <c r="T19" s="73">
        <v>184969529</v>
      </c>
      <c r="U19" s="73">
        <f t="shared" si="9"/>
        <v>15030471</v>
      </c>
      <c r="V19" s="75">
        <f t="shared" si="11"/>
        <v>0.92484764500000005</v>
      </c>
      <c r="W19" s="76">
        <v>152194026</v>
      </c>
      <c r="X19" s="75">
        <f t="shared" si="3"/>
        <v>0.76097013000000002</v>
      </c>
      <c r="Y19" s="76">
        <v>152194026</v>
      </c>
      <c r="Z19" s="75">
        <f t="shared" si="4"/>
        <v>0.76097013000000002</v>
      </c>
    </row>
    <row r="20" spans="1:26" ht="28.5" customHeight="1">
      <c r="A20" s="26" t="e">
        <f>+CONCATENATE(#REF!,"=",J20)</f>
        <v>#REF!</v>
      </c>
      <c r="B20" s="66" t="str">
        <f t="shared" si="10"/>
        <v>A-01-01-01-001-009</v>
      </c>
      <c r="C20" s="67" t="s">
        <v>31</v>
      </c>
      <c r="D20" s="68" t="s">
        <v>33</v>
      </c>
      <c r="E20" s="68" t="s">
        <v>33</v>
      </c>
      <c r="F20" s="68" t="s">
        <v>33</v>
      </c>
      <c r="G20" s="68" t="s">
        <v>39</v>
      </c>
      <c r="H20" s="68" t="s">
        <v>56</v>
      </c>
      <c r="I20" s="69"/>
      <c r="J20" s="70" t="s">
        <v>36</v>
      </c>
      <c r="K20" s="71" t="s">
        <v>37</v>
      </c>
      <c r="L20" s="72" t="s">
        <v>57</v>
      </c>
      <c r="M20" s="73">
        <v>5900000000</v>
      </c>
      <c r="N20" s="73"/>
      <c r="O20" s="73"/>
      <c r="P20" s="73">
        <f>1400000000</f>
        <v>1400000000</v>
      </c>
      <c r="Q20" s="74">
        <v>700000000</v>
      </c>
      <c r="R20" s="73"/>
      <c r="S20" s="73">
        <f t="shared" si="8"/>
        <v>6600000000</v>
      </c>
      <c r="T20" s="73">
        <v>6531939593</v>
      </c>
      <c r="U20" s="73">
        <f t="shared" si="9"/>
        <v>68060407</v>
      </c>
      <c r="V20" s="75">
        <f t="shared" si="11"/>
        <v>0.98968781712121212</v>
      </c>
      <c r="W20" s="76">
        <v>6531939593</v>
      </c>
      <c r="X20" s="75">
        <f t="shared" si="3"/>
        <v>0.98968781712121212</v>
      </c>
      <c r="Y20" s="76">
        <v>6531939593</v>
      </c>
      <c r="Z20" s="75">
        <f t="shared" si="4"/>
        <v>0.98968781712121212</v>
      </c>
    </row>
    <row r="21" spans="1:26" ht="28.5" customHeight="1">
      <c r="A21" s="26" t="e">
        <f>+CONCATENATE(#REF!,"=",J21)</f>
        <v>#REF!</v>
      </c>
      <c r="B21" s="66" t="str">
        <f t="shared" si="10"/>
        <v>A-01-01-01-001-010</v>
      </c>
      <c r="C21" s="67" t="s">
        <v>31</v>
      </c>
      <c r="D21" s="68" t="s">
        <v>33</v>
      </c>
      <c r="E21" s="68" t="s">
        <v>33</v>
      </c>
      <c r="F21" s="68" t="s">
        <v>33</v>
      </c>
      <c r="G21" s="68" t="s">
        <v>39</v>
      </c>
      <c r="H21" s="68" t="s">
        <v>58</v>
      </c>
      <c r="I21" s="69"/>
      <c r="J21" s="70" t="s">
        <v>36</v>
      </c>
      <c r="K21" s="71" t="s">
        <v>37</v>
      </c>
      <c r="L21" s="72" t="s">
        <v>59</v>
      </c>
      <c r="M21" s="73">
        <v>3300000000</v>
      </c>
      <c r="N21" s="73"/>
      <c r="O21" s="73"/>
      <c r="P21" s="73">
        <f>600000000</f>
        <v>600000000</v>
      </c>
      <c r="Q21" s="74"/>
      <c r="R21" s="73"/>
      <c r="S21" s="73">
        <f t="shared" si="8"/>
        <v>3900000000</v>
      </c>
      <c r="T21" s="73">
        <v>3533746137</v>
      </c>
      <c r="U21" s="73">
        <f t="shared" si="9"/>
        <v>366253863</v>
      </c>
      <c r="V21" s="75">
        <f t="shared" si="11"/>
        <v>0.90608875307692305</v>
      </c>
      <c r="W21" s="76">
        <v>3533746137</v>
      </c>
      <c r="X21" s="75">
        <f t="shared" si="3"/>
        <v>0.90608875307692305</v>
      </c>
      <c r="Y21" s="76">
        <v>3533746137</v>
      </c>
      <c r="Z21" s="75">
        <f t="shared" si="4"/>
        <v>0.90608875307692305</v>
      </c>
    </row>
    <row r="22" spans="1:26" ht="32.15" customHeight="1">
      <c r="A22" s="26" t="e">
        <f>+CONCATENATE(#REF!,"=",J22)</f>
        <v>#REF!</v>
      </c>
      <c r="B22" s="51" t="str">
        <f>CONCATENATE(C22,"-",D22,"-",E22,"-",F22)</f>
        <v>A-01-01-02</v>
      </c>
      <c r="C22" s="52" t="s">
        <v>31</v>
      </c>
      <c r="D22" s="53" t="s">
        <v>33</v>
      </c>
      <c r="E22" s="53" t="s">
        <v>33</v>
      </c>
      <c r="F22" s="53" t="s">
        <v>60</v>
      </c>
      <c r="G22" s="53"/>
      <c r="H22" s="53"/>
      <c r="I22" s="54"/>
      <c r="J22" s="55" t="s">
        <v>36</v>
      </c>
      <c r="K22" s="55" t="s">
        <v>37</v>
      </c>
      <c r="L22" s="51" t="s">
        <v>61</v>
      </c>
      <c r="M22" s="56">
        <f>SUM(M23:M31)</f>
        <v>32057000000</v>
      </c>
      <c r="N22" s="56">
        <f t="shared" ref="N22:R22" si="12">SUM(N23:N31)</f>
        <v>0</v>
      </c>
      <c r="O22" s="56">
        <f t="shared" si="12"/>
        <v>0</v>
      </c>
      <c r="P22" s="56">
        <f t="shared" si="12"/>
        <v>1700000000</v>
      </c>
      <c r="Q22" s="56">
        <f t="shared" si="12"/>
        <v>1700000000</v>
      </c>
      <c r="R22" s="56">
        <f t="shared" si="12"/>
        <v>0</v>
      </c>
      <c r="S22" s="56">
        <f>SUM(S23:S31)</f>
        <v>32057000000</v>
      </c>
      <c r="T22" s="56">
        <f t="shared" ref="T22:U22" si="13">SUM(T23:T31)</f>
        <v>29703993239</v>
      </c>
      <c r="U22" s="56">
        <f t="shared" si="13"/>
        <v>2353006761</v>
      </c>
      <c r="V22" s="57">
        <f t="shared" si="11"/>
        <v>0.92659928374458</v>
      </c>
      <c r="W22" s="58">
        <f t="shared" ref="W22:Y22" si="14">SUM(W23:W31)</f>
        <v>29703993239</v>
      </c>
      <c r="X22" s="57">
        <f t="shared" si="3"/>
        <v>0.92659928374458</v>
      </c>
      <c r="Y22" s="58">
        <f t="shared" si="14"/>
        <v>29703993239</v>
      </c>
      <c r="Z22" s="57">
        <f t="shared" si="4"/>
        <v>0.92659928374458</v>
      </c>
    </row>
    <row r="23" spans="1:26" ht="28.5" customHeight="1">
      <c r="A23" s="26" t="e">
        <f>+CONCATENATE(#REF!,"=",J23)</f>
        <v>#REF!</v>
      </c>
      <c r="B23" s="66" t="str">
        <f>CONCATENATE(C23,"-",D23,"-",E23,"-",F23,"-",G23)</f>
        <v>A-01-01-02-001</v>
      </c>
      <c r="C23" s="67" t="s">
        <v>31</v>
      </c>
      <c r="D23" s="68" t="s">
        <v>33</v>
      </c>
      <c r="E23" s="68" t="s">
        <v>33</v>
      </c>
      <c r="F23" s="68" t="s">
        <v>60</v>
      </c>
      <c r="G23" s="68" t="s">
        <v>39</v>
      </c>
      <c r="H23" s="68"/>
      <c r="I23" s="69"/>
      <c r="J23" s="70" t="s">
        <v>36</v>
      </c>
      <c r="K23" s="71" t="s">
        <v>37</v>
      </c>
      <c r="L23" s="72" t="s">
        <v>62</v>
      </c>
      <c r="M23" s="73">
        <v>10048180000</v>
      </c>
      <c r="N23" s="73"/>
      <c r="O23" s="73"/>
      <c r="P23" s="73"/>
      <c r="Q23" s="73">
        <f>1000000+999000000+200000000</f>
        <v>1200000000</v>
      </c>
      <c r="R23" s="74"/>
      <c r="S23" s="73">
        <f t="shared" ref="S23:S31" si="15">+M23-R23+N23-O23+P23-Q23</f>
        <v>8848180000</v>
      </c>
      <c r="T23" s="73">
        <v>8659482828</v>
      </c>
      <c r="U23" s="73">
        <f t="shared" si="9"/>
        <v>188697172</v>
      </c>
      <c r="V23" s="75">
        <f t="shared" si="11"/>
        <v>0.97867389994326515</v>
      </c>
      <c r="W23" s="76">
        <v>8659482828</v>
      </c>
      <c r="X23" s="75">
        <f t="shared" si="3"/>
        <v>0.97867389994326515</v>
      </c>
      <c r="Y23" s="76">
        <v>8659482828</v>
      </c>
      <c r="Z23" s="75">
        <f t="shared" si="4"/>
        <v>0.97867389994326515</v>
      </c>
    </row>
    <row r="24" spans="1:26" ht="28.5" customHeight="1">
      <c r="A24" s="26" t="e">
        <f>+CONCATENATE(#REF!,"=",J24)</f>
        <v>#REF!</v>
      </c>
      <c r="B24" s="66" t="str">
        <f t="shared" ref="B24:B31" si="16">CONCATENATE(C24,"-",D24,"-",E24,"-",F24,"-",G24)</f>
        <v>A-01-01-02-002</v>
      </c>
      <c r="C24" s="67" t="s">
        <v>31</v>
      </c>
      <c r="D24" s="68" t="s">
        <v>33</v>
      </c>
      <c r="E24" s="68" t="s">
        <v>33</v>
      </c>
      <c r="F24" s="68" t="s">
        <v>60</v>
      </c>
      <c r="G24" s="68" t="s">
        <v>42</v>
      </c>
      <c r="H24" s="68"/>
      <c r="I24" s="69"/>
      <c r="J24" s="70" t="s">
        <v>36</v>
      </c>
      <c r="K24" s="71" t="s">
        <v>37</v>
      </c>
      <c r="L24" s="72" t="s">
        <v>63</v>
      </c>
      <c r="M24" s="73">
        <v>7117460000</v>
      </c>
      <c r="N24" s="73"/>
      <c r="O24" s="73"/>
      <c r="P24" s="73"/>
      <c r="Q24" s="73">
        <f>500000+499500000</f>
        <v>500000000</v>
      </c>
      <c r="R24" s="74"/>
      <c r="S24" s="73">
        <f t="shared" si="15"/>
        <v>6617460000</v>
      </c>
      <c r="T24" s="73">
        <v>6509700900</v>
      </c>
      <c r="U24" s="73">
        <f t="shared" si="9"/>
        <v>107759100</v>
      </c>
      <c r="V24" s="75">
        <f t="shared" si="11"/>
        <v>0.98371594237063764</v>
      </c>
      <c r="W24" s="76">
        <v>6509700900</v>
      </c>
      <c r="X24" s="75">
        <f t="shared" si="3"/>
        <v>0.98371594237063764</v>
      </c>
      <c r="Y24" s="76">
        <v>6509700900</v>
      </c>
      <c r="Z24" s="75">
        <f t="shared" si="4"/>
        <v>0.98371594237063764</v>
      </c>
    </row>
    <row r="25" spans="1:26" ht="28.5" customHeight="1">
      <c r="A25" s="26" t="e">
        <f>+CONCATENATE(#REF!,"=",J25)</f>
        <v>#REF!</v>
      </c>
      <c r="B25" s="66" t="str">
        <f t="shared" si="16"/>
        <v>A-01-01-02-003</v>
      </c>
      <c r="C25" s="67" t="s">
        <v>31</v>
      </c>
      <c r="D25" s="68" t="s">
        <v>33</v>
      </c>
      <c r="E25" s="68" t="s">
        <v>33</v>
      </c>
      <c r="F25" s="68" t="s">
        <v>60</v>
      </c>
      <c r="G25" s="68" t="s">
        <v>44</v>
      </c>
      <c r="H25" s="68"/>
      <c r="I25" s="69"/>
      <c r="J25" s="70" t="s">
        <v>36</v>
      </c>
      <c r="K25" s="71" t="s">
        <v>37</v>
      </c>
      <c r="L25" s="72" t="s">
        <v>64</v>
      </c>
      <c r="M25" s="73">
        <v>5734390000</v>
      </c>
      <c r="N25" s="73"/>
      <c r="O25" s="73"/>
      <c r="P25" s="73">
        <f>1500000+1498500000</f>
        <v>1500000000</v>
      </c>
      <c r="Q25" s="73"/>
      <c r="R25" s="74"/>
      <c r="S25" s="73">
        <f t="shared" si="15"/>
        <v>7234390000</v>
      </c>
      <c r="T25" s="73">
        <v>7064016211</v>
      </c>
      <c r="U25" s="73">
        <f t="shared" si="9"/>
        <v>170373789</v>
      </c>
      <c r="V25" s="75">
        <f t="shared" si="11"/>
        <v>0.97644946028621626</v>
      </c>
      <c r="W25" s="76">
        <v>7064016211</v>
      </c>
      <c r="X25" s="75">
        <f t="shared" si="3"/>
        <v>0.97644946028621626</v>
      </c>
      <c r="Y25" s="76">
        <v>7064016211</v>
      </c>
      <c r="Z25" s="75">
        <f t="shared" si="4"/>
        <v>0.97644946028621626</v>
      </c>
    </row>
    <row r="26" spans="1:26" ht="28.5" customHeight="1">
      <c r="A26" s="26" t="e">
        <f>+CONCATENATE(#REF!,"=",J26)</f>
        <v>#REF!</v>
      </c>
      <c r="B26" s="66" t="str">
        <f t="shared" si="16"/>
        <v>A-01-01-02-004</v>
      </c>
      <c r="C26" s="67" t="s">
        <v>31</v>
      </c>
      <c r="D26" s="68" t="s">
        <v>33</v>
      </c>
      <c r="E26" s="68" t="s">
        <v>33</v>
      </c>
      <c r="F26" s="68" t="s">
        <v>60</v>
      </c>
      <c r="G26" s="68" t="s">
        <v>46</v>
      </c>
      <c r="H26" s="68"/>
      <c r="I26" s="69"/>
      <c r="J26" s="70" t="s">
        <v>36</v>
      </c>
      <c r="K26" s="71" t="s">
        <v>37</v>
      </c>
      <c r="L26" s="72" t="s">
        <v>65</v>
      </c>
      <c r="M26" s="73">
        <v>3803090000</v>
      </c>
      <c r="N26" s="73"/>
      <c r="O26" s="73"/>
      <c r="P26" s="73"/>
      <c r="Q26" s="73"/>
      <c r="R26" s="74"/>
      <c r="S26" s="73">
        <f t="shared" si="15"/>
        <v>3803090000</v>
      </c>
      <c r="T26" s="73">
        <v>2843724700</v>
      </c>
      <c r="U26" s="73">
        <f t="shared" si="9"/>
        <v>959365300</v>
      </c>
      <c r="V26" s="75">
        <f t="shared" si="11"/>
        <v>0.7477405741121036</v>
      </c>
      <c r="W26" s="76">
        <v>2843724700</v>
      </c>
      <c r="X26" s="75">
        <f t="shared" si="3"/>
        <v>0.7477405741121036</v>
      </c>
      <c r="Y26" s="76">
        <v>2843724700</v>
      </c>
      <c r="Z26" s="75">
        <f t="shared" si="4"/>
        <v>0.7477405741121036</v>
      </c>
    </row>
    <row r="27" spans="1:26" ht="28.5" customHeight="1">
      <c r="A27" s="26" t="e">
        <f>+CONCATENATE(#REF!,"=",J27)</f>
        <v>#REF!</v>
      </c>
      <c r="B27" s="66" t="str">
        <f t="shared" si="16"/>
        <v>A-01-01-02-005</v>
      </c>
      <c r="C27" s="67" t="s">
        <v>31</v>
      </c>
      <c r="D27" s="68" t="s">
        <v>33</v>
      </c>
      <c r="E27" s="68" t="s">
        <v>33</v>
      </c>
      <c r="F27" s="68" t="s">
        <v>60</v>
      </c>
      <c r="G27" s="68" t="s">
        <v>48</v>
      </c>
      <c r="H27" s="68"/>
      <c r="I27" s="69"/>
      <c r="J27" s="70" t="s">
        <v>36</v>
      </c>
      <c r="K27" s="71" t="s">
        <v>37</v>
      </c>
      <c r="L27" s="72" t="s">
        <v>66</v>
      </c>
      <c r="M27" s="73">
        <v>600000000</v>
      </c>
      <c r="N27" s="73"/>
      <c r="O27" s="73"/>
      <c r="P27" s="73">
        <f>200000000</f>
        <v>200000000</v>
      </c>
      <c r="Q27" s="73"/>
      <c r="R27" s="74"/>
      <c r="S27" s="73">
        <f t="shared" si="15"/>
        <v>800000000</v>
      </c>
      <c r="T27" s="73">
        <v>655544100</v>
      </c>
      <c r="U27" s="73">
        <f t="shared" si="9"/>
        <v>144455900</v>
      </c>
      <c r="V27" s="75">
        <f t="shared" si="11"/>
        <v>0.81943012500000001</v>
      </c>
      <c r="W27" s="76">
        <v>655544100</v>
      </c>
      <c r="X27" s="75">
        <f t="shared" si="3"/>
        <v>0.81943012500000001</v>
      </c>
      <c r="Y27" s="76">
        <v>655544100</v>
      </c>
      <c r="Z27" s="75">
        <f t="shared" si="4"/>
        <v>0.81943012500000001</v>
      </c>
    </row>
    <row r="28" spans="1:26" ht="28.5" customHeight="1">
      <c r="A28" s="26" t="e">
        <f>+CONCATENATE(#REF!,"=",J28)</f>
        <v>#REF!</v>
      </c>
      <c r="B28" s="66" t="str">
        <f t="shared" si="16"/>
        <v>A-01-01-02-006</v>
      </c>
      <c r="C28" s="67" t="s">
        <v>31</v>
      </c>
      <c r="D28" s="68" t="s">
        <v>33</v>
      </c>
      <c r="E28" s="68" t="s">
        <v>33</v>
      </c>
      <c r="F28" s="68" t="s">
        <v>60</v>
      </c>
      <c r="G28" s="68" t="s">
        <v>50</v>
      </c>
      <c r="H28" s="68"/>
      <c r="I28" s="69"/>
      <c r="J28" s="70" t="s">
        <v>36</v>
      </c>
      <c r="K28" s="71" t="s">
        <v>37</v>
      </c>
      <c r="L28" s="72" t="s">
        <v>67</v>
      </c>
      <c r="M28" s="73">
        <v>2852320000</v>
      </c>
      <c r="N28" s="73"/>
      <c r="O28" s="73"/>
      <c r="P28" s="73"/>
      <c r="Q28" s="73"/>
      <c r="R28" s="74"/>
      <c r="S28" s="73">
        <f t="shared" si="15"/>
        <v>2852320000</v>
      </c>
      <c r="T28" s="73">
        <v>2382052600</v>
      </c>
      <c r="U28" s="73">
        <f t="shared" si="9"/>
        <v>470267400</v>
      </c>
      <c r="V28" s="75">
        <f t="shared" si="11"/>
        <v>0.83512810624333877</v>
      </c>
      <c r="W28" s="76">
        <v>2382052600</v>
      </c>
      <c r="X28" s="75">
        <f t="shared" si="3"/>
        <v>0.83512810624333877</v>
      </c>
      <c r="Y28" s="76">
        <v>2382052600</v>
      </c>
      <c r="Z28" s="75">
        <f t="shared" si="4"/>
        <v>0.83512810624333877</v>
      </c>
    </row>
    <row r="29" spans="1:26" ht="28.5" customHeight="1">
      <c r="A29" s="26" t="e">
        <f>+CONCATENATE(#REF!,"=",J29)</f>
        <v>#REF!</v>
      </c>
      <c r="B29" s="66" t="str">
        <f t="shared" si="16"/>
        <v>A-01-01-02-007</v>
      </c>
      <c r="C29" s="67" t="s">
        <v>31</v>
      </c>
      <c r="D29" s="68" t="s">
        <v>33</v>
      </c>
      <c r="E29" s="68" t="s">
        <v>33</v>
      </c>
      <c r="F29" s="68" t="s">
        <v>60</v>
      </c>
      <c r="G29" s="68" t="s">
        <v>52</v>
      </c>
      <c r="H29" s="68"/>
      <c r="I29" s="69"/>
      <c r="J29" s="70" t="s">
        <v>36</v>
      </c>
      <c r="K29" s="71" t="s">
        <v>37</v>
      </c>
      <c r="L29" s="72" t="s">
        <v>68</v>
      </c>
      <c r="M29" s="73">
        <v>475390000</v>
      </c>
      <c r="N29" s="73"/>
      <c r="O29" s="73"/>
      <c r="P29" s="73"/>
      <c r="Q29" s="73"/>
      <c r="R29" s="74"/>
      <c r="S29" s="73">
        <f t="shared" si="15"/>
        <v>475390000</v>
      </c>
      <c r="T29" s="73">
        <v>397516700</v>
      </c>
      <c r="U29" s="73">
        <f t="shared" si="9"/>
        <v>77873300</v>
      </c>
      <c r="V29" s="75">
        <f t="shared" si="11"/>
        <v>0.83619070657775718</v>
      </c>
      <c r="W29" s="76">
        <v>397516700</v>
      </c>
      <c r="X29" s="75">
        <f t="shared" si="3"/>
        <v>0.83619070657775718</v>
      </c>
      <c r="Y29" s="76">
        <v>397516700</v>
      </c>
      <c r="Z29" s="75">
        <f t="shared" si="4"/>
        <v>0.83619070657775718</v>
      </c>
    </row>
    <row r="30" spans="1:26" ht="28.5" customHeight="1">
      <c r="A30" s="26" t="e">
        <f>+CONCATENATE(#REF!,"=",J30)</f>
        <v>#REF!</v>
      </c>
      <c r="B30" s="66" t="str">
        <f t="shared" si="16"/>
        <v>A-01-01-02-008</v>
      </c>
      <c r="C30" s="67" t="s">
        <v>31</v>
      </c>
      <c r="D30" s="68" t="s">
        <v>33</v>
      </c>
      <c r="E30" s="68" t="s">
        <v>33</v>
      </c>
      <c r="F30" s="68" t="s">
        <v>60</v>
      </c>
      <c r="G30" s="68" t="s">
        <v>54</v>
      </c>
      <c r="H30" s="68"/>
      <c r="I30" s="69"/>
      <c r="J30" s="70" t="s">
        <v>36</v>
      </c>
      <c r="K30" s="71" t="s">
        <v>37</v>
      </c>
      <c r="L30" s="72" t="s">
        <v>69</v>
      </c>
      <c r="M30" s="73">
        <v>475390000</v>
      </c>
      <c r="N30" s="73"/>
      <c r="O30" s="73"/>
      <c r="P30" s="73"/>
      <c r="Q30" s="73"/>
      <c r="R30" s="74"/>
      <c r="S30" s="73">
        <f t="shared" si="15"/>
        <v>475390000</v>
      </c>
      <c r="T30" s="73">
        <v>397516700</v>
      </c>
      <c r="U30" s="73">
        <f t="shared" si="9"/>
        <v>77873300</v>
      </c>
      <c r="V30" s="75">
        <f t="shared" si="11"/>
        <v>0.83619070657775718</v>
      </c>
      <c r="W30" s="76">
        <v>397516700</v>
      </c>
      <c r="X30" s="75">
        <f t="shared" si="3"/>
        <v>0.83619070657775718</v>
      </c>
      <c r="Y30" s="76">
        <v>397516700</v>
      </c>
      <c r="Z30" s="75">
        <f t="shared" si="4"/>
        <v>0.83619070657775718</v>
      </c>
    </row>
    <row r="31" spans="1:26" ht="28.5" customHeight="1">
      <c r="A31" s="26" t="e">
        <f>+CONCATENATE(#REF!,"=",J31)</f>
        <v>#REF!</v>
      </c>
      <c r="B31" s="66" t="str">
        <f t="shared" si="16"/>
        <v>A-01-01-02-009</v>
      </c>
      <c r="C31" s="67" t="s">
        <v>31</v>
      </c>
      <c r="D31" s="68" t="s">
        <v>33</v>
      </c>
      <c r="E31" s="68" t="s">
        <v>33</v>
      </c>
      <c r="F31" s="68" t="s">
        <v>60</v>
      </c>
      <c r="G31" s="68" t="s">
        <v>56</v>
      </c>
      <c r="H31" s="68"/>
      <c r="I31" s="69"/>
      <c r="J31" s="70" t="s">
        <v>36</v>
      </c>
      <c r="K31" s="71" t="s">
        <v>37</v>
      </c>
      <c r="L31" s="72" t="s">
        <v>70</v>
      </c>
      <c r="M31" s="73">
        <v>950780000</v>
      </c>
      <c r="N31" s="73"/>
      <c r="O31" s="73"/>
      <c r="P31" s="73"/>
      <c r="Q31" s="73"/>
      <c r="R31" s="74"/>
      <c r="S31" s="73">
        <f t="shared" si="15"/>
        <v>950780000</v>
      </c>
      <c r="T31" s="73">
        <v>794438500</v>
      </c>
      <c r="U31" s="73">
        <f t="shared" si="9"/>
        <v>156341500</v>
      </c>
      <c r="V31" s="75">
        <f t="shared" si="11"/>
        <v>0.83556500978144266</v>
      </c>
      <c r="W31" s="76">
        <v>794438500</v>
      </c>
      <c r="X31" s="75">
        <f t="shared" si="3"/>
        <v>0.83556500978144266</v>
      </c>
      <c r="Y31" s="76">
        <v>794438500</v>
      </c>
      <c r="Z31" s="75">
        <f t="shared" si="4"/>
        <v>0.83556500978144266</v>
      </c>
    </row>
    <row r="32" spans="1:26" ht="32.15" customHeight="1">
      <c r="A32" s="26" t="e">
        <f>+CONCATENATE(#REF!,"=",J32)</f>
        <v>#REF!</v>
      </c>
      <c r="B32" s="51" t="str">
        <f>CONCATENATE(C32,"-",D32,"-",E32,"-",F32)</f>
        <v>A-01-01-03</v>
      </c>
      <c r="C32" s="52" t="s">
        <v>31</v>
      </c>
      <c r="D32" s="53" t="s">
        <v>33</v>
      </c>
      <c r="E32" s="53" t="s">
        <v>33</v>
      </c>
      <c r="F32" s="53" t="s">
        <v>71</v>
      </c>
      <c r="G32" s="53"/>
      <c r="H32" s="53"/>
      <c r="I32" s="54"/>
      <c r="J32" s="55" t="s">
        <v>36</v>
      </c>
      <c r="K32" s="55" t="s">
        <v>37</v>
      </c>
      <c r="L32" s="51" t="s">
        <v>72</v>
      </c>
      <c r="M32" s="56">
        <f>+M33+M37+M38+M40+M41+M42+M39</f>
        <v>9133000000</v>
      </c>
      <c r="N32" s="56">
        <f>+N33+N37+N38+N40+N41+N42+N39</f>
        <v>0</v>
      </c>
      <c r="O32" s="56">
        <f t="shared" ref="O32:W32" si="17">+O33+O37+O38+O40+O41+O42+O39</f>
        <v>0</v>
      </c>
      <c r="P32" s="56">
        <f t="shared" si="17"/>
        <v>2577000000</v>
      </c>
      <c r="Q32" s="56">
        <f t="shared" si="17"/>
        <v>77000000</v>
      </c>
      <c r="R32" s="56">
        <f t="shared" si="17"/>
        <v>0</v>
      </c>
      <c r="S32" s="56">
        <f t="shared" si="17"/>
        <v>11633000000</v>
      </c>
      <c r="T32" s="56">
        <f t="shared" si="17"/>
        <v>10039231063</v>
      </c>
      <c r="U32" s="56">
        <f t="shared" si="17"/>
        <v>1593768937</v>
      </c>
      <c r="V32" s="57">
        <f t="shared" si="11"/>
        <v>0.86299587922290033</v>
      </c>
      <c r="W32" s="56">
        <f t="shared" si="17"/>
        <v>10039231063</v>
      </c>
      <c r="X32" s="57">
        <f t="shared" si="3"/>
        <v>0.86299587922290033</v>
      </c>
      <c r="Y32" s="56">
        <f t="shared" ref="Y32" si="18">+Y33+Y37+Y38+Y40+Y41+Y42+Y39</f>
        <v>10039231063</v>
      </c>
      <c r="Z32" s="57">
        <f t="shared" si="4"/>
        <v>0.86299587922290033</v>
      </c>
    </row>
    <row r="33" spans="1:26" ht="32.15" customHeight="1">
      <c r="A33" s="26" t="e">
        <f>+CONCATENATE(#REF!,"=",J33)</f>
        <v>#REF!</v>
      </c>
      <c r="B33" s="59" t="str">
        <f>CONCATENATE(C33,"-",D33,"-",E33,"-",F33,"-",G33)</f>
        <v>A-01-01-03-001</v>
      </c>
      <c r="C33" s="60" t="s">
        <v>31</v>
      </c>
      <c r="D33" s="61" t="s">
        <v>33</v>
      </c>
      <c r="E33" s="61" t="s">
        <v>33</v>
      </c>
      <c r="F33" s="61" t="s">
        <v>71</v>
      </c>
      <c r="G33" s="61" t="s">
        <v>39</v>
      </c>
      <c r="H33" s="61"/>
      <c r="I33" s="62"/>
      <c r="J33" s="63" t="s">
        <v>36</v>
      </c>
      <c r="K33" s="63" t="s">
        <v>37</v>
      </c>
      <c r="L33" s="59" t="s">
        <v>73</v>
      </c>
      <c r="M33" s="64">
        <f>SUM(M34:M36)</f>
        <v>4840000000</v>
      </c>
      <c r="N33" s="64">
        <f t="shared" ref="N33:R33" si="19">SUM(N34:N36)</f>
        <v>0</v>
      </c>
      <c r="O33" s="64">
        <f t="shared" si="19"/>
        <v>0</v>
      </c>
      <c r="P33" s="64">
        <f>SUM(P34:P36)</f>
        <v>2200000000</v>
      </c>
      <c r="Q33" s="64">
        <f t="shared" si="19"/>
        <v>50000000</v>
      </c>
      <c r="R33" s="64">
        <f t="shared" si="19"/>
        <v>0</v>
      </c>
      <c r="S33" s="64">
        <f>SUM(S34:S36)</f>
        <v>6990000000</v>
      </c>
      <c r="T33" s="64">
        <f t="shared" ref="T33:Y33" si="20">SUM(T34:T36)</f>
        <v>5692991670</v>
      </c>
      <c r="U33" s="64">
        <f t="shared" si="20"/>
        <v>1297008330</v>
      </c>
      <c r="V33" s="65">
        <f t="shared" si="11"/>
        <v>0.81444802145922746</v>
      </c>
      <c r="W33" s="64">
        <f t="shared" si="20"/>
        <v>5692991670</v>
      </c>
      <c r="X33" s="65">
        <f t="shared" si="3"/>
        <v>0.81444802145922746</v>
      </c>
      <c r="Y33" s="64">
        <f t="shared" si="20"/>
        <v>5692991670</v>
      </c>
      <c r="Z33" s="65">
        <f t="shared" si="4"/>
        <v>0.81444802145922746</v>
      </c>
    </row>
    <row r="34" spans="1:26" ht="28.5" customHeight="1">
      <c r="A34" s="26" t="e">
        <f>+CONCATENATE(#REF!,"=",J34)</f>
        <v>#REF!</v>
      </c>
      <c r="B34" s="66" t="str">
        <f t="shared" ref="B34:B36" si="21">CONCATENATE(C34,"-",D34,"-",E34,"-",F34,"-",G34,"-",H34)</f>
        <v>A-01-01-03-001-001</v>
      </c>
      <c r="C34" s="67" t="s">
        <v>31</v>
      </c>
      <c r="D34" s="68" t="s">
        <v>33</v>
      </c>
      <c r="E34" s="68" t="s">
        <v>33</v>
      </c>
      <c r="F34" s="68" t="s">
        <v>71</v>
      </c>
      <c r="G34" s="68" t="s">
        <v>39</v>
      </c>
      <c r="H34" s="68" t="s">
        <v>39</v>
      </c>
      <c r="I34" s="69"/>
      <c r="J34" s="70" t="s">
        <v>36</v>
      </c>
      <c r="K34" s="71" t="s">
        <v>37</v>
      </c>
      <c r="L34" s="72" t="s">
        <v>74</v>
      </c>
      <c r="M34" s="73">
        <v>3560000000</v>
      </c>
      <c r="N34" s="73"/>
      <c r="O34" s="73"/>
      <c r="P34" s="77">
        <f>1900000000</f>
        <v>1900000000</v>
      </c>
      <c r="Q34" s="74"/>
      <c r="R34" s="74"/>
      <c r="S34" s="73">
        <f t="shared" ref="S34:S42" si="22">+M34-R34+N34-O34+P34-Q34</f>
        <v>5460000000</v>
      </c>
      <c r="T34" s="73">
        <v>4500650266</v>
      </c>
      <c r="U34" s="73">
        <f t="shared" si="9"/>
        <v>959349734</v>
      </c>
      <c r="V34" s="75">
        <f t="shared" si="11"/>
        <v>0.82429492051282049</v>
      </c>
      <c r="W34" s="76">
        <v>4500650266</v>
      </c>
      <c r="X34" s="75">
        <f t="shared" si="3"/>
        <v>0.82429492051282049</v>
      </c>
      <c r="Y34" s="76">
        <v>4500650266</v>
      </c>
      <c r="Z34" s="75">
        <f t="shared" si="4"/>
        <v>0.82429492051282049</v>
      </c>
    </row>
    <row r="35" spans="1:26" ht="28.5" customHeight="1">
      <c r="A35" s="26" t="e">
        <f>+CONCATENATE(#REF!,"=",J35)</f>
        <v>#REF!</v>
      </c>
      <c r="B35" s="66" t="str">
        <f t="shared" si="21"/>
        <v>A-01-01-03-001-002</v>
      </c>
      <c r="C35" s="67" t="s">
        <v>31</v>
      </c>
      <c r="D35" s="68" t="s">
        <v>33</v>
      </c>
      <c r="E35" s="68" t="s">
        <v>33</v>
      </c>
      <c r="F35" s="68" t="s">
        <v>71</v>
      </c>
      <c r="G35" s="68" t="s">
        <v>39</v>
      </c>
      <c r="H35" s="68" t="s">
        <v>42</v>
      </c>
      <c r="I35" s="69"/>
      <c r="J35" s="70" t="s">
        <v>36</v>
      </c>
      <c r="K35" s="71" t="s">
        <v>37</v>
      </c>
      <c r="L35" s="72" t="s">
        <v>75</v>
      </c>
      <c r="M35" s="73">
        <v>900000000</v>
      </c>
      <c r="N35" s="73"/>
      <c r="O35" s="73"/>
      <c r="P35" s="77">
        <f>100000000</f>
        <v>100000000</v>
      </c>
      <c r="Q35" s="73">
        <f>50000000</f>
        <v>50000000</v>
      </c>
      <c r="R35" s="74"/>
      <c r="S35" s="73">
        <f t="shared" si="22"/>
        <v>950000000</v>
      </c>
      <c r="T35" s="73">
        <v>759276720</v>
      </c>
      <c r="U35" s="73">
        <f t="shared" si="9"/>
        <v>190723280</v>
      </c>
      <c r="V35" s="75">
        <f t="shared" si="11"/>
        <v>0.79923865263157889</v>
      </c>
      <c r="W35" s="76">
        <v>759276720</v>
      </c>
      <c r="X35" s="75">
        <f t="shared" si="3"/>
        <v>0.79923865263157889</v>
      </c>
      <c r="Y35" s="76">
        <v>759276720</v>
      </c>
      <c r="Z35" s="75">
        <f t="shared" si="4"/>
        <v>0.79923865263157889</v>
      </c>
    </row>
    <row r="36" spans="1:26" ht="28.5" customHeight="1">
      <c r="A36" s="26" t="e">
        <f>+CONCATENATE(#REF!,"=",J36)</f>
        <v>#REF!</v>
      </c>
      <c r="B36" s="78" t="str">
        <f t="shared" si="21"/>
        <v>A-01-01-03-001-003</v>
      </c>
      <c r="C36" s="79" t="s">
        <v>31</v>
      </c>
      <c r="D36" s="80" t="s">
        <v>33</v>
      </c>
      <c r="E36" s="80" t="s">
        <v>33</v>
      </c>
      <c r="F36" s="80" t="s">
        <v>71</v>
      </c>
      <c r="G36" s="80" t="s">
        <v>39</v>
      </c>
      <c r="H36" s="80" t="s">
        <v>44</v>
      </c>
      <c r="I36" s="81"/>
      <c r="J36" s="82" t="s">
        <v>36</v>
      </c>
      <c r="K36" s="83" t="s">
        <v>37</v>
      </c>
      <c r="L36" s="84" t="s">
        <v>76</v>
      </c>
      <c r="M36" s="85">
        <v>380000000</v>
      </c>
      <c r="N36" s="85"/>
      <c r="O36" s="85"/>
      <c r="P36" s="85">
        <f>200000000</f>
        <v>200000000</v>
      </c>
      <c r="Q36" s="86"/>
      <c r="R36" s="86"/>
      <c r="S36" s="85">
        <f t="shared" si="22"/>
        <v>580000000</v>
      </c>
      <c r="T36" s="85">
        <v>433064684</v>
      </c>
      <c r="U36" s="85">
        <f t="shared" si="9"/>
        <v>146935316</v>
      </c>
      <c r="V36" s="87">
        <f t="shared" si="11"/>
        <v>0.74666324827586206</v>
      </c>
      <c r="W36" s="88">
        <v>433064684</v>
      </c>
      <c r="X36" s="87">
        <f t="shared" si="3"/>
        <v>0.74666324827586206</v>
      </c>
      <c r="Y36" s="88">
        <v>433064684</v>
      </c>
      <c r="Z36" s="87">
        <f t="shared" si="4"/>
        <v>0.74666324827586206</v>
      </c>
    </row>
    <row r="37" spans="1:26" ht="28.5" customHeight="1">
      <c r="A37" s="26" t="e">
        <f>+CONCATENATE(#REF!,"=",J37)</f>
        <v>#REF!</v>
      </c>
      <c r="B37" s="66" t="str">
        <f>CONCATENATE(C37,"-",D37,"-",E37,"-",F37,"-",G37)</f>
        <v>A-01-01-03-002</v>
      </c>
      <c r="C37" s="67" t="s">
        <v>31</v>
      </c>
      <c r="D37" s="68" t="s">
        <v>33</v>
      </c>
      <c r="E37" s="68" t="s">
        <v>33</v>
      </c>
      <c r="F37" s="68" t="s">
        <v>71</v>
      </c>
      <c r="G37" s="68" t="s">
        <v>42</v>
      </c>
      <c r="H37" s="68"/>
      <c r="I37" s="69"/>
      <c r="J37" s="70" t="s">
        <v>36</v>
      </c>
      <c r="K37" s="71" t="s">
        <v>37</v>
      </c>
      <c r="L37" s="72" t="s">
        <v>77</v>
      </c>
      <c r="M37" s="73">
        <v>2600000000</v>
      </c>
      <c r="N37" s="73"/>
      <c r="O37" s="73"/>
      <c r="P37" s="73">
        <f>50000000</f>
        <v>50000000</v>
      </c>
      <c r="Q37" s="73">
        <v>23000000</v>
      </c>
      <c r="R37" s="74"/>
      <c r="S37" s="73">
        <f t="shared" si="22"/>
        <v>2627000000</v>
      </c>
      <c r="T37" s="73">
        <v>2412655501</v>
      </c>
      <c r="U37" s="73">
        <f t="shared" si="9"/>
        <v>214344499</v>
      </c>
      <c r="V37" s="75">
        <f t="shared" si="11"/>
        <v>0.91840711876665393</v>
      </c>
      <c r="W37" s="76">
        <v>2412655501</v>
      </c>
      <c r="X37" s="75">
        <f t="shared" si="3"/>
        <v>0.91840711876665393</v>
      </c>
      <c r="Y37" s="76">
        <v>2412655501</v>
      </c>
      <c r="Z37" s="75">
        <f t="shared" si="4"/>
        <v>0.91840711876665393</v>
      </c>
    </row>
    <row r="38" spans="1:26" ht="28.5" customHeight="1">
      <c r="A38" s="26" t="e">
        <f>+CONCATENATE(#REF!,"=",J38)</f>
        <v>#REF!</v>
      </c>
      <c r="B38" s="66" t="str">
        <f t="shared" ref="B38:B42" si="23">CONCATENATE(C38,"-",D38,"-",E38,"-",F38,"-",G38)</f>
        <v>A-01-01-03-005</v>
      </c>
      <c r="C38" s="67" t="s">
        <v>31</v>
      </c>
      <c r="D38" s="68" t="s">
        <v>33</v>
      </c>
      <c r="E38" s="68" t="s">
        <v>33</v>
      </c>
      <c r="F38" s="68" t="s">
        <v>71</v>
      </c>
      <c r="G38" s="68" t="s">
        <v>48</v>
      </c>
      <c r="H38" s="68"/>
      <c r="I38" s="69"/>
      <c r="J38" s="70" t="s">
        <v>36</v>
      </c>
      <c r="K38" s="71" t="s">
        <v>37</v>
      </c>
      <c r="L38" s="72" t="s">
        <v>78</v>
      </c>
      <c r="M38" s="73">
        <v>6000000</v>
      </c>
      <c r="N38" s="73"/>
      <c r="O38" s="73"/>
      <c r="P38" s="73">
        <f>4000000</f>
        <v>4000000</v>
      </c>
      <c r="Q38" s="74"/>
      <c r="R38" s="74"/>
      <c r="S38" s="73">
        <f t="shared" si="22"/>
        <v>10000000</v>
      </c>
      <c r="T38" s="73">
        <v>9417067</v>
      </c>
      <c r="U38" s="73">
        <f t="shared" si="9"/>
        <v>582933</v>
      </c>
      <c r="V38" s="75">
        <f t="shared" si="11"/>
        <v>0.94170670000000001</v>
      </c>
      <c r="W38" s="76">
        <v>9417067</v>
      </c>
      <c r="X38" s="75">
        <f t="shared" si="3"/>
        <v>0.94170670000000001</v>
      </c>
      <c r="Y38" s="76">
        <v>9417067</v>
      </c>
      <c r="Z38" s="75">
        <f t="shared" si="4"/>
        <v>0.94170670000000001</v>
      </c>
    </row>
    <row r="39" spans="1:26" ht="28.5" customHeight="1">
      <c r="A39" s="26" t="e">
        <f>+CONCATENATE(#REF!,"=",J39)</f>
        <v>#REF!</v>
      </c>
      <c r="B39" s="66" t="str">
        <f t="shared" si="23"/>
        <v>A-01-01-03-007</v>
      </c>
      <c r="C39" s="67" t="s">
        <v>31</v>
      </c>
      <c r="D39" s="68" t="s">
        <v>33</v>
      </c>
      <c r="E39" s="68" t="s">
        <v>33</v>
      </c>
      <c r="F39" s="68" t="s">
        <v>71</v>
      </c>
      <c r="G39" s="68" t="s">
        <v>52</v>
      </c>
      <c r="H39" s="68"/>
      <c r="I39" s="69"/>
      <c r="J39" s="70" t="s">
        <v>36</v>
      </c>
      <c r="K39" s="71" t="s">
        <v>37</v>
      </c>
      <c r="L39" s="72" t="s">
        <v>79</v>
      </c>
      <c r="M39" s="73">
        <v>13000000</v>
      </c>
      <c r="N39" s="73"/>
      <c r="O39" s="73"/>
      <c r="P39" s="73">
        <v>23000000</v>
      </c>
      <c r="Q39" s="73">
        <f>4000000</f>
        <v>4000000</v>
      </c>
      <c r="R39" s="74"/>
      <c r="S39" s="73">
        <f t="shared" si="22"/>
        <v>32000000</v>
      </c>
      <c r="T39" s="73">
        <v>27330192</v>
      </c>
      <c r="U39" s="73">
        <f t="shared" si="9"/>
        <v>4669808</v>
      </c>
      <c r="V39" s="75">
        <f t="shared" si="11"/>
        <v>0.85406850000000001</v>
      </c>
      <c r="W39" s="76">
        <v>27330192</v>
      </c>
      <c r="X39" s="75">
        <f t="shared" si="3"/>
        <v>0.85406850000000001</v>
      </c>
      <c r="Y39" s="76">
        <v>27330192</v>
      </c>
      <c r="Z39" s="75">
        <f t="shared" si="4"/>
        <v>0.85406850000000001</v>
      </c>
    </row>
    <row r="40" spans="1:26" ht="28.5" customHeight="1">
      <c r="A40" s="26" t="e">
        <f>+CONCATENATE(#REF!,"=",J40)</f>
        <v>#REF!</v>
      </c>
      <c r="B40" s="66" t="str">
        <f t="shared" si="23"/>
        <v>A-01-01-03-013</v>
      </c>
      <c r="C40" s="67" t="s">
        <v>31</v>
      </c>
      <c r="D40" s="68" t="s">
        <v>33</v>
      </c>
      <c r="E40" s="68" t="s">
        <v>33</v>
      </c>
      <c r="F40" s="68" t="s">
        <v>71</v>
      </c>
      <c r="G40" s="68" t="s">
        <v>80</v>
      </c>
      <c r="H40" s="68"/>
      <c r="I40" s="69"/>
      <c r="J40" s="70" t="s">
        <v>36</v>
      </c>
      <c r="K40" s="71" t="s">
        <v>37</v>
      </c>
      <c r="L40" s="72" t="s">
        <v>81</v>
      </c>
      <c r="M40" s="73">
        <v>40000000</v>
      </c>
      <c r="N40" s="73"/>
      <c r="O40" s="73"/>
      <c r="P40" s="74"/>
      <c r="Q40" s="74"/>
      <c r="R40" s="74"/>
      <c r="S40" s="73">
        <f t="shared" si="22"/>
        <v>40000000</v>
      </c>
      <c r="T40" s="73">
        <v>13000000</v>
      </c>
      <c r="U40" s="73">
        <f t="shared" si="9"/>
        <v>27000000</v>
      </c>
      <c r="V40" s="75">
        <f t="shared" si="11"/>
        <v>0.32500000000000001</v>
      </c>
      <c r="W40" s="76">
        <v>13000000</v>
      </c>
      <c r="X40" s="75">
        <f t="shared" si="3"/>
        <v>0.32500000000000001</v>
      </c>
      <c r="Y40" s="76">
        <v>13000000</v>
      </c>
      <c r="Z40" s="75">
        <f t="shared" si="4"/>
        <v>0.32500000000000001</v>
      </c>
    </row>
    <row r="41" spans="1:26" ht="28.5" customHeight="1">
      <c r="A41" s="26" t="e">
        <f>+CONCATENATE(#REF!,"=",J41)</f>
        <v>#REF!</v>
      </c>
      <c r="B41" s="66" t="str">
        <f t="shared" si="23"/>
        <v>A-01-01-03-016</v>
      </c>
      <c r="C41" s="67" t="s">
        <v>31</v>
      </c>
      <c r="D41" s="68" t="s">
        <v>33</v>
      </c>
      <c r="E41" s="68" t="s">
        <v>33</v>
      </c>
      <c r="F41" s="68" t="s">
        <v>71</v>
      </c>
      <c r="G41" s="68" t="s">
        <v>82</v>
      </c>
      <c r="H41" s="68"/>
      <c r="I41" s="69"/>
      <c r="J41" s="70" t="s">
        <v>36</v>
      </c>
      <c r="K41" s="71" t="s">
        <v>37</v>
      </c>
      <c r="L41" s="72" t="s">
        <v>83</v>
      </c>
      <c r="M41" s="73">
        <v>984000000</v>
      </c>
      <c r="N41" s="73"/>
      <c r="O41" s="73"/>
      <c r="P41" s="73">
        <f>200000000</f>
        <v>200000000</v>
      </c>
      <c r="Q41" s="74"/>
      <c r="R41" s="74"/>
      <c r="S41" s="73">
        <f t="shared" si="22"/>
        <v>1184000000</v>
      </c>
      <c r="T41" s="73">
        <v>1162145286</v>
      </c>
      <c r="U41" s="73">
        <f t="shared" si="9"/>
        <v>21854714</v>
      </c>
      <c r="V41" s="75">
        <f t="shared" si="11"/>
        <v>0.98154162668918921</v>
      </c>
      <c r="W41" s="76">
        <v>1162145286</v>
      </c>
      <c r="X41" s="75">
        <f t="shared" si="3"/>
        <v>0.98154162668918921</v>
      </c>
      <c r="Y41" s="76">
        <v>1162145286</v>
      </c>
      <c r="Z41" s="75">
        <f t="shared" si="4"/>
        <v>0.98154162668918921</v>
      </c>
    </row>
    <row r="42" spans="1:26" ht="28.5" customHeight="1">
      <c r="A42" s="26" t="e">
        <f>+CONCATENATE(#REF!,"=",J42)</f>
        <v>#REF!</v>
      </c>
      <c r="B42" s="66" t="str">
        <f t="shared" si="23"/>
        <v>A-01-01-03-030</v>
      </c>
      <c r="C42" s="67" t="s">
        <v>31</v>
      </c>
      <c r="D42" s="68" t="s">
        <v>33</v>
      </c>
      <c r="E42" s="68" t="s">
        <v>33</v>
      </c>
      <c r="F42" s="68" t="s">
        <v>71</v>
      </c>
      <c r="G42" s="68" t="s">
        <v>84</v>
      </c>
      <c r="H42" s="68"/>
      <c r="I42" s="69"/>
      <c r="J42" s="70" t="s">
        <v>36</v>
      </c>
      <c r="K42" s="71" t="s">
        <v>37</v>
      </c>
      <c r="L42" s="72" t="s">
        <v>85</v>
      </c>
      <c r="M42" s="73">
        <v>650000000</v>
      </c>
      <c r="N42" s="73"/>
      <c r="O42" s="73"/>
      <c r="P42" s="73">
        <f>100000000</f>
        <v>100000000</v>
      </c>
      <c r="Q42" s="74"/>
      <c r="R42" s="74"/>
      <c r="S42" s="73">
        <f t="shared" si="22"/>
        <v>750000000</v>
      </c>
      <c r="T42" s="73">
        <v>721691347</v>
      </c>
      <c r="U42" s="73">
        <f t="shared" si="9"/>
        <v>28308653</v>
      </c>
      <c r="V42" s="75">
        <f t="shared" si="11"/>
        <v>0.96225512933333335</v>
      </c>
      <c r="W42" s="76">
        <v>721691347</v>
      </c>
      <c r="X42" s="75">
        <f t="shared" si="3"/>
        <v>0.96225512933333335</v>
      </c>
      <c r="Y42" s="76">
        <v>721691347</v>
      </c>
      <c r="Z42" s="75">
        <f t="shared" si="4"/>
        <v>0.96225512933333335</v>
      </c>
    </row>
    <row r="43" spans="1:26" ht="32.15" customHeight="1">
      <c r="A43" s="26" t="e">
        <f>+CONCATENATE(#REF!,"=",J43)</f>
        <v>#REF!</v>
      </c>
      <c r="B43" s="35" t="str">
        <f>CONCATENATE(C43,"-",D43)</f>
        <v>A-02</v>
      </c>
      <c r="C43" s="36" t="s">
        <v>31</v>
      </c>
      <c r="D43" s="37" t="s">
        <v>60</v>
      </c>
      <c r="E43" s="37"/>
      <c r="F43" s="37"/>
      <c r="G43" s="37"/>
      <c r="H43" s="37"/>
      <c r="I43" s="38"/>
      <c r="J43" s="39"/>
      <c r="K43" s="39"/>
      <c r="L43" s="35" t="s">
        <v>86</v>
      </c>
      <c r="M43" s="40">
        <f t="shared" ref="M43:U43" si="24">+M51+M44</f>
        <v>44658000000</v>
      </c>
      <c r="N43" s="40">
        <f t="shared" si="24"/>
        <v>0</v>
      </c>
      <c r="O43" s="40">
        <f t="shared" si="24"/>
        <v>0</v>
      </c>
      <c r="P43" s="40">
        <f t="shared" si="24"/>
        <v>15487165552.74</v>
      </c>
      <c r="Q43" s="40">
        <f t="shared" si="24"/>
        <v>15487165552.74</v>
      </c>
      <c r="R43" s="40">
        <f t="shared" si="24"/>
        <v>0</v>
      </c>
      <c r="S43" s="40">
        <f t="shared" si="24"/>
        <v>44657999999.999992</v>
      </c>
      <c r="T43" s="40">
        <f t="shared" si="24"/>
        <v>40698882656.959999</v>
      </c>
      <c r="U43" s="40">
        <f t="shared" si="24"/>
        <v>3959117343.04</v>
      </c>
      <c r="V43" s="41">
        <f t="shared" si="11"/>
        <v>0.91134584300595656</v>
      </c>
      <c r="W43" s="42">
        <f>+W51+W44</f>
        <v>33972024469.810001</v>
      </c>
      <c r="X43" s="41">
        <f t="shared" si="3"/>
        <v>0.76071531348940857</v>
      </c>
      <c r="Y43" s="42">
        <f>+Y51+Y44</f>
        <v>33968100803.810001</v>
      </c>
      <c r="Z43" s="41">
        <f t="shared" si="4"/>
        <v>0.76062745317322777</v>
      </c>
    </row>
    <row r="44" spans="1:26" ht="32.15" customHeight="1">
      <c r="A44" s="26" t="e">
        <f>+CONCATENATE(#REF!,"=",J44)</f>
        <v>#REF!</v>
      </c>
      <c r="B44" s="43" t="str">
        <f>CONCATENATE(C44,"-",D44,"-",E44)</f>
        <v>A-02-01</v>
      </c>
      <c r="C44" s="44" t="s">
        <v>31</v>
      </c>
      <c r="D44" s="45" t="s">
        <v>60</v>
      </c>
      <c r="E44" s="45" t="s">
        <v>33</v>
      </c>
      <c r="F44" s="45"/>
      <c r="G44" s="45"/>
      <c r="H44" s="45"/>
      <c r="I44" s="46"/>
      <c r="J44" s="47"/>
      <c r="K44" s="47"/>
      <c r="L44" s="43" t="s">
        <v>87</v>
      </c>
      <c r="M44" s="48">
        <f>+M45</f>
        <v>100000000</v>
      </c>
      <c r="N44" s="48">
        <f t="shared" ref="N44:Y45" si="25">+N45</f>
        <v>0</v>
      </c>
      <c r="O44" s="48">
        <f t="shared" si="25"/>
        <v>0</v>
      </c>
      <c r="P44" s="48">
        <f t="shared" si="25"/>
        <v>3829731945</v>
      </c>
      <c r="Q44" s="48">
        <f t="shared" si="25"/>
        <v>1151944732</v>
      </c>
      <c r="R44" s="48">
        <f t="shared" si="25"/>
        <v>0</v>
      </c>
      <c r="S44" s="48">
        <f t="shared" si="25"/>
        <v>2777787213</v>
      </c>
      <c r="T44" s="48">
        <f t="shared" si="25"/>
        <v>2712494422.04</v>
      </c>
      <c r="U44" s="48">
        <f t="shared" si="25"/>
        <v>65292790.959999993</v>
      </c>
      <c r="V44" s="49">
        <f t="shared" si="11"/>
        <v>0.97649467509446697</v>
      </c>
      <c r="W44" s="50">
        <f t="shared" si="25"/>
        <v>162401937.04000002</v>
      </c>
      <c r="X44" s="49">
        <f t="shared" si="3"/>
        <v>5.8464498749206395E-2</v>
      </c>
      <c r="Y44" s="50">
        <f t="shared" si="25"/>
        <v>162401937.04000002</v>
      </c>
      <c r="Z44" s="49">
        <f t="shared" si="4"/>
        <v>5.8464498749206395E-2</v>
      </c>
    </row>
    <row r="45" spans="1:26" ht="32.15" customHeight="1">
      <c r="A45" s="26" t="e">
        <f>+CONCATENATE(#REF!,"=",J45)</f>
        <v>#REF!</v>
      </c>
      <c r="B45" s="51" t="str">
        <f>CONCATENATE(C45,"-",D45,"-",E45,"-",F45)</f>
        <v>A-02-01-01</v>
      </c>
      <c r="C45" s="52" t="s">
        <v>31</v>
      </c>
      <c r="D45" s="53" t="s">
        <v>60</v>
      </c>
      <c r="E45" s="53" t="s">
        <v>33</v>
      </c>
      <c r="F45" s="53" t="s">
        <v>33</v>
      </c>
      <c r="G45" s="53"/>
      <c r="H45" s="53"/>
      <c r="I45" s="54"/>
      <c r="J45" s="55" t="s">
        <v>36</v>
      </c>
      <c r="K45" s="55" t="s">
        <v>37</v>
      </c>
      <c r="L45" s="51" t="s">
        <v>88</v>
      </c>
      <c r="M45" s="56">
        <f>+M46</f>
        <v>100000000</v>
      </c>
      <c r="N45" s="56">
        <f t="shared" si="25"/>
        <v>0</v>
      </c>
      <c r="O45" s="56">
        <f t="shared" si="25"/>
        <v>0</v>
      </c>
      <c r="P45" s="56">
        <f t="shared" si="25"/>
        <v>3829731945</v>
      </c>
      <c r="Q45" s="56">
        <f t="shared" si="25"/>
        <v>1151944732</v>
      </c>
      <c r="R45" s="56">
        <f t="shared" si="25"/>
        <v>0</v>
      </c>
      <c r="S45" s="56">
        <f t="shared" si="25"/>
        <v>2777787213</v>
      </c>
      <c r="T45" s="56">
        <f t="shared" si="25"/>
        <v>2712494422.04</v>
      </c>
      <c r="U45" s="56">
        <f t="shared" si="25"/>
        <v>65292790.959999993</v>
      </c>
      <c r="V45" s="57">
        <f t="shared" si="11"/>
        <v>0.97649467509446697</v>
      </c>
      <c r="W45" s="58">
        <f t="shared" si="25"/>
        <v>162401937.04000002</v>
      </c>
      <c r="X45" s="57">
        <f t="shared" si="3"/>
        <v>5.8464498749206395E-2</v>
      </c>
      <c r="Y45" s="58">
        <f t="shared" si="25"/>
        <v>162401937.04000002</v>
      </c>
      <c r="Z45" s="57">
        <f t="shared" si="4"/>
        <v>5.8464498749206395E-2</v>
      </c>
    </row>
    <row r="46" spans="1:26" ht="32.15" customHeight="1">
      <c r="A46" s="26" t="e">
        <f>+CONCATENATE(#REF!,"=",J46)</f>
        <v>#REF!</v>
      </c>
      <c r="B46" s="59" t="str">
        <f>CONCATENATE(C46,"-",D46,"-",E46,"-",F46,"-",G46)</f>
        <v>A-02-01-01-004</v>
      </c>
      <c r="C46" s="60" t="s">
        <v>31</v>
      </c>
      <c r="D46" s="61" t="s">
        <v>60</v>
      </c>
      <c r="E46" s="61" t="s">
        <v>33</v>
      </c>
      <c r="F46" s="61" t="s">
        <v>33</v>
      </c>
      <c r="G46" s="61" t="s">
        <v>46</v>
      </c>
      <c r="H46" s="61"/>
      <c r="I46" s="62"/>
      <c r="J46" s="63" t="s">
        <v>36</v>
      </c>
      <c r="K46" s="63" t="s">
        <v>37</v>
      </c>
      <c r="L46" s="59" t="s">
        <v>89</v>
      </c>
      <c r="M46" s="64">
        <f>SUM(M47:M50)</f>
        <v>100000000</v>
      </c>
      <c r="N46" s="64">
        <f t="shared" ref="N46:U46" si="26">SUM(N47:N50)</f>
        <v>0</v>
      </c>
      <c r="O46" s="64">
        <f t="shared" si="26"/>
        <v>0</v>
      </c>
      <c r="P46" s="64">
        <f t="shared" si="26"/>
        <v>3829731945</v>
      </c>
      <c r="Q46" s="64">
        <f t="shared" si="26"/>
        <v>1151944732</v>
      </c>
      <c r="R46" s="64">
        <f t="shared" si="26"/>
        <v>0</v>
      </c>
      <c r="S46" s="64">
        <f t="shared" si="26"/>
        <v>2777787213</v>
      </c>
      <c r="T46" s="64">
        <f t="shared" si="26"/>
        <v>2712494422.04</v>
      </c>
      <c r="U46" s="64">
        <f t="shared" si="26"/>
        <v>65292790.959999993</v>
      </c>
      <c r="V46" s="65">
        <f t="shared" si="11"/>
        <v>0.97649467509446697</v>
      </c>
      <c r="W46" s="64">
        <f t="shared" ref="W46" si="27">SUM(W47:W50)</f>
        <v>162401937.04000002</v>
      </c>
      <c r="X46" s="65">
        <f t="shared" si="3"/>
        <v>5.8464498749206395E-2</v>
      </c>
      <c r="Y46" s="64">
        <f t="shared" ref="Y46" si="28">SUM(Y47:Y50)</f>
        <v>162401937.04000002</v>
      </c>
      <c r="Z46" s="65">
        <f t="shared" si="4"/>
        <v>5.8464498749206395E-2</v>
      </c>
    </row>
    <row r="47" spans="1:26" ht="28.5" customHeight="1">
      <c r="A47" s="26" t="e">
        <f>+CONCATENATE(#REF!,"=",J47)</f>
        <v>#REF!</v>
      </c>
      <c r="B47" s="66" t="str">
        <f t="shared" ref="B47:B50" si="29">CONCATENATE(C47,"-",D47,"-",E47,"-",F47,"-",G47,"-",H47)</f>
        <v>A-02-01-01-004-005</v>
      </c>
      <c r="C47" s="67" t="s">
        <v>31</v>
      </c>
      <c r="D47" s="68" t="s">
        <v>60</v>
      </c>
      <c r="E47" s="68" t="s">
        <v>33</v>
      </c>
      <c r="F47" s="68" t="s">
        <v>33</v>
      </c>
      <c r="G47" s="68" t="s">
        <v>46</v>
      </c>
      <c r="H47" s="89" t="s">
        <v>48</v>
      </c>
      <c r="I47" s="69"/>
      <c r="J47" s="70">
        <v>10</v>
      </c>
      <c r="K47" s="71" t="s">
        <v>37</v>
      </c>
      <c r="L47" s="72" t="s">
        <v>90</v>
      </c>
      <c r="M47" s="73">
        <v>0</v>
      </c>
      <c r="N47" s="73"/>
      <c r="O47" s="73"/>
      <c r="P47" s="74">
        <f>2412967485+141288721</f>
        <v>2554256206</v>
      </c>
      <c r="Q47" s="90"/>
      <c r="R47" s="74"/>
      <c r="S47" s="73">
        <f>+M47-R47+N47-O47+P47-Q47</f>
        <v>2554256206</v>
      </c>
      <c r="T47" s="73">
        <v>2507567485</v>
      </c>
      <c r="U47" s="73">
        <f t="shared" ref="U47:U50" si="30">+S47-T47</f>
        <v>46688721</v>
      </c>
      <c r="V47" s="75">
        <f t="shared" si="11"/>
        <v>0.98172120678797714</v>
      </c>
      <c r="W47" s="76">
        <v>0</v>
      </c>
      <c r="X47" s="75">
        <f t="shared" si="3"/>
        <v>0</v>
      </c>
      <c r="Y47" s="76">
        <v>0</v>
      </c>
      <c r="Z47" s="75">
        <f t="shared" si="4"/>
        <v>0</v>
      </c>
    </row>
    <row r="48" spans="1:26" ht="28.5" customHeight="1">
      <c r="A48" s="26" t="e">
        <f>+CONCATENATE(#REF!,"=",J48)</f>
        <v>#REF!</v>
      </c>
      <c r="B48" s="66" t="str">
        <f t="shared" si="29"/>
        <v>A-02-01-01-004-006</v>
      </c>
      <c r="C48" s="67" t="s">
        <v>31</v>
      </c>
      <c r="D48" s="68" t="s">
        <v>60</v>
      </c>
      <c r="E48" s="68" t="s">
        <v>33</v>
      </c>
      <c r="F48" s="68" t="s">
        <v>33</v>
      </c>
      <c r="G48" s="68" t="s">
        <v>46</v>
      </c>
      <c r="H48" s="89" t="s">
        <v>50</v>
      </c>
      <c r="I48" s="69"/>
      <c r="J48" s="70">
        <v>10</v>
      </c>
      <c r="K48" s="71" t="s">
        <v>37</v>
      </c>
      <c r="L48" s="72" t="s">
        <v>91</v>
      </c>
      <c r="M48" s="73">
        <v>0</v>
      </c>
      <c r="N48" s="73"/>
      <c r="O48" s="73"/>
      <c r="P48" s="74">
        <f>115000000+180000000+745640974+150000000</f>
        <v>1190640974</v>
      </c>
      <c r="Q48" s="90">
        <f>90000000+895640974+90000000</f>
        <v>1075640974</v>
      </c>
      <c r="R48" s="74"/>
      <c r="S48" s="73">
        <f>+M48-R48+N48-O48+P48-Q48</f>
        <v>115000000</v>
      </c>
      <c r="T48" s="73">
        <v>111663907.04000001</v>
      </c>
      <c r="U48" s="73">
        <f t="shared" si="30"/>
        <v>3336092.9599999934</v>
      </c>
      <c r="V48" s="75">
        <f t="shared" si="11"/>
        <v>0.97099049600000009</v>
      </c>
      <c r="W48" s="76">
        <v>111663907.04000001</v>
      </c>
      <c r="X48" s="75">
        <f t="shared" si="3"/>
        <v>0.97099049600000009</v>
      </c>
      <c r="Y48" s="76">
        <v>111663907.04000001</v>
      </c>
      <c r="Z48" s="75">
        <f t="shared" si="4"/>
        <v>0.97099049600000009</v>
      </c>
    </row>
    <row r="49" spans="1:26" ht="28.5" customHeight="1">
      <c r="A49" s="26" t="e">
        <f>+CONCATENATE(#REF!,"=",J49)</f>
        <v>#REF!</v>
      </c>
      <c r="B49" s="66" t="str">
        <f t="shared" si="29"/>
        <v>A-02-01-01-004-007</v>
      </c>
      <c r="C49" s="67" t="s">
        <v>31</v>
      </c>
      <c r="D49" s="68" t="s">
        <v>60</v>
      </c>
      <c r="E49" s="68" t="s">
        <v>33</v>
      </c>
      <c r="F49" s="68" t="s">
        <v>33</v>
      </c>
      <c r="G49" s="68" t="s">
        <v>46</v>
      </c>
      <c r="H49" s="89" t="s">
        <v>52</v>
      </c>
      <c r="I49" s="69"/>
      <c r="J49" s="70">
        <v>10</v>
      </c>
      <c r="K49" s="71" t="s">
        <v>37</v>
      </c>
      <c r="L49" s="72" t="s">
        <v>92</v>
      </c>
      <c r="M49" s="73">
        <v>100000000</v>
      </c>
      <c r="N49" s="73"/>
      <c r="O49" s="73"/>
      <c r="P49" s="74">
        <f>27041788</f>
        <v>27041788</v>
      </c>
      <c r="Q49" s="73">
        <f>5088644+14252908+56962206</f>
        <v>76303758</v>
      </c>
      <c r="R49" s="74"/>
      <c r="S49" s="73">
        <f>+M49-R49+N49-O49+P49-Q49</f>
        <v>50738030</v>
      </c>
      <c r="T49" s="73">
        <v>50738030</v>
      </c>
      <c r="U49" s="73">
        <f t="shared" si="30"/>
        <v>0</v>
      </c>
      <c r="V49" s="75">
        <f t="shared" si="11"/>
        <v>1</v>
      </c>
      <c r="W49" s="76">
        <v>50738030</v>
      </c>
      <c r="X49" s="75">
        <f t="shared" si="3"/>
        <v>1</v>
      </c>
      <c r="Y49" s="76">
        <v>50738030</v>
      </c>
      <c r="Z49" s="75">
        <f t="shared" si="4"/>
        <v>1</v>
      </c>
    </row>
    <row r="50" spans="1:26" ht="28.5" customHeight="1">
      <c r="A50" s="26" t="e">
        <f>+CONCATENATE(#REF!,"=",J50)</f>
        <v>#REF!</v>
      </c>
      <c r="B50" s="66" t="str">
        <f t="shared" si="29"/>
        <v>A-02-01-01-004-008</v>
      </c>
      <c r="C50" s="67" t="s">
        <v>31</v>
      </c>
      <c r="D50" s="68" t="s">
        <v>60</v>
      </c>
      <c r="E50" s="68" t="s">
        <v>33</v>
      </c>
      <c r="F50" s="68" t="s">
        <v>33</v>
      </c>
      <c r="G50" s="68" t="s">
        <v>46</v>
      </c>
      <c r="H50" s="89" t="s">
        <v>54</v>
      </c>
      <c r="I50" s="69"/>
      <c r="J50" s="70">
        <v>10</v>
      </c>
      <c r="K50" s="71" t="s">
        <v>37</v>
      </c>
      <c r="L50" s="72" t="s">
        <v>93</v>
      </c>
      <c r="M50" s="73"/>
      <c r="N50" s="73"/>
      <c r="O50" s="73"/>
      <c r="P50" s="74">
        <f>57792977</f>
        <v>57792977</v>
      </c>
      <c r="Q50" s="73"/>
      <c r="R50" s="74"/>
      <c r="S50" s="73">
        <f>+M50-R50+N50-O50+P50-Q50</f>
        <v>57792977</v>
      </c>
      <c r="T50" s="73">
        <v>42525000</v>
      </c>
      <c r="U50" s="73">
        <f t="shared" si="30"/>
        <v>15267977</v>
      </c>
      <c r="V50" s="75">
        <f t="shared" si="11"/>
        <v>0.73581604906769205</v>
      </c>
      <c r="W50" s="76">
        <v>0</v>
      </c>
      <c r="X50" s="75">
        <f t="shared" si="3"/>
        <v>0</v>
      </c>
      <c r="Y50" s="76">
        <v>0</v>
      </c>
      <c r="Z50" s="75">
        <f t="shared" si="4"/>
        <v>0</v>
      </c>
    </row>
    <row r="51" spans="1:26" ht="32.15" customHeight="1">
      <c r="A51" s="26" t="e">
        <f>+CONCATENATE(#REF!,"=",J51)</f>
        <v>#REF!</v>
      </c>
      <c r="B51" s="43" t="str">
        <f>CONCATENATE(C51,"-",D51,"-",E51)</f>
        <v>A-02-02</v>
      </c>
      <c r="C51" s="44" t="s">
        <v>31</v>
      </c>
      <c r="D51" s="45" t="s">
        <v>60</v>
      </c>
      <c r="E51" s="45" t="s">
        <v>60</v>
      </c>
      <c r="F51" s="45"/>
      <c r="G51" s="45"/>
      <c r="H51" s="45"/>
      <c r="I51" s="46"/>
      <c r="J51" s="47"/>
      <c r="K51" s="47"/>
      <c r="L51" s="43" t="s">
        <v>94</v>
      </c>
      <c r="M51" s="48">
        <f t="shared" ref="M51:U51" si="31">+M52+M70</f>
        <v>44558000000</v>
      </c>
      <c r="N51" s="48">
        <f t="shared" si="31"/>
        <v>0</v>
      </c>
      <c r="O51" s="48">
        <f t="shared" si="31"/>
        <v>0</v>
      </c>
      <c r="P51" s="48">
        <f t="shared" si="31"/>
        <v>11657433607.74</v>
      </c>
      <c r="Q51" s="48">
        <f t="shared" si="31"/>
        <v>14335220820.74</v>
      </c>
      <c r="R51" s="48">
        <f t="shared" si="31"/>
        <v>0</v>
      </c>
      <c r="S51" s="48">
        <f t="shared" si="31"/>
        <v>41880212786.999992</v>
      </c>
      <c r="T51" s="48">
        <f t="shared" si="31"/>
        <v>37986388234.919998</v>
      </c>
      <c r="U51" s="48">
        <f t="shared" si="31"/>
        <v>3893824552.0799999</v>
      </c>
      <c r="V51" s="49">
        <f t="shared" si="11"/>
        <v>0.90702471900313086</v>
      </c>
      <c r="W51" s="50">
        <f>+W52+W70</f>
        <v>33809622532.77</v>
      </c>
      <c r="X51" s="49">
        <f t="shared" si="3"/>
        <v>0.80729347543489138</v>
      </c>
      <c r="Y51" s="50">
        <f>+Y52+Y70</f>
        <v>33805698866.77</v>
      </c>
      <c r="Z51" s="49">
        <f t="shared" si="4"/>
        <v>0.80719978761100286</v>
      </c>
    </row>
    <row r="52" spans="1:26" ht="32.15" customHeight="1">
      <c r="A52" s="26" t="e">
        <f>+CONCATENATE(#REF!,"=",J52)</f>
        <v>#REF!</v>
      </c>
      <c r="B52" s="51" t="str">
        <f>CONCATENATE(C52,"-",D52,"-",E52,"-",F52)</f>
        <v>A-02-02-01</v>
      </c>
      <c r="C52" s="52" t="s">
        <v>31</v>
      </c>
      <c r="D52" s="53" t="s">
        <v>60</v>
      </c>
      <c r="E52" s="53" t="s">
        <v>60</v>
      </c>
      <c r="F52" s="53" t="s">
        <v>33</v>
      </c>
      <c r="G52" s="53"/>
      <c r="H52" s="53"/>
      <c r="I52" s="54"/>
      <c r="J52" s="55" t="s">
        <v>36</v>
      </c>
      <c r="K52" s="55" t="s">
        <v>37</v>
      </c>
      <c r="L52" s="51" t="s">
        <v>95</v>
      </c>
      <c r="M52" s="56">
        <f t="shared" ref="M52:U52" si="32">+M53+M56+M59+M65</f>
        <v>1434662489</v>
      </c>
      <c r="N52" s="56">
        <f t="shared" si="32"/>
        <v>0</v>
      </c>
      <c r="O52" s="56">
        <f t="shared" si="32"/>
        <v>0</v>
      </c>
      <c r="P52" s="56">
        <f t="shared" si="32"/>
        <v>2072373034</v>
      </c>
      <c r="Q52" s="56">
        <f t="shared" si="32"/>
        <v>2181891373</v>
      </c>
      <c r="R52" s="56">
        <f t="shared" si="32"/>
        <v>0</v>
      </c>
      <c r="S52" s="56">
        <f t="shared" si="32"/>
        <v>1325144150</v>
      </c>
      <c r="T52" s="56">
        <f t="shared" si="32"/>
        <v>1178121829.6800001</v>
      </c>
      <c r="U52" s="56">
        <f t="shared" si="32"/>
        <v>147022320.31999999</v>
      </c>
      <c r="V52" s="57">
        <f t="shared" si="11"/>
        <v>0.88905182857276321</v>
      </c>
      <c r="W52" s="58">
        <f>+W53+W56+W59+W65</f>
        <v>509973518.88000005</v>
      </c>
      <c r="X52" s="57">
        <f t="shared" si="3"/>
        <v>0.38484380652474681</v>
      </c>
      <c r="Y52" s="58">
        <f>+Y53+Y56+Y59+Y65</f>
        <v>509973518.88000005</v>
      </c>
      <c r="Z52" s="57">
        <f t="shared" si="4"/>
        <v>0.38484380652474681</v>
      </c>
    </row>
    <row r="53" spans="1:26" ht="32.15" customHeight="1">
      <c r="A53" s="26" t="e">
        <f>+CONCATENATE(#REF!,"=",J53)</f>
        <v>#REF!</v>
      </c>
      <c r="B53" s="59" t="str">
        <f>CONCATENATE(C53,"-",D53,"-",E53,"-",F53,"-",G53)</f>
        <v>A-02-02-01-001</v>
      </c>
      <c r="C53" s="60" t="s">
        <v>31</v>
      </c>
      <c r="D53" s="61" t="s">
        <v>60</v>
      </c>
      <c r="E53" s="61" t="s">
        <v>60</v>
      </c>
      <c r="F53" s="61" t="s">
        <v>33</v>
      </c>
      <c r="G53" s="61" t="s">
        <v>39</v>
      </c>
      <c r="H53" s="61"/>
      <c r="I53" s="62"/>
      <c r="J53" s="63" t="s">
        <v>36</v>
      </c>
      <c r="K53" s="63" t="s">
        <v>37</v>
      </c>
      <c r="L53" s="59" t="s">
        <v>96</v>
      </c>
      <c r="M53" s="64">
        <f>SUM(M54:M55)</f>
        <v>19000000</v>
      </c>
      <c r="N53" s="64">
        <f t="shared" ref="N53:U53" si="33">SUM(N54:N55)</f>
        <v>0</v>
      </c>
      <c r="O53" s="64">
        <f t="shared" si="33"/>
        <v>0</v>
      </c>
      <c r="P53" s="64">
        <f t="shared" si="33"/>
        <v>0</v>
      </c>
      <c r="Q53" s="64">
        <f t="shared" si="33"/>
        <v>0</v>
      </c>
      <c r="R53" s="64">
        <f t="shared" si="33"/>
        <v>0</v>
      </c>
      <c r="S53" s="64">
        <f t="shared" si="33"/>
        <v>19000000</v>
      </c>
      <c r="T53" s="64">
        <f t="shared" si="33"/>
        <v>13951500.800000001</v>
      </c>
      <c r="U53" s="64">
        <f t="shared" si="33"/>
        <v>5048499.2</v>
      </c>
      <c r="V53" s="65">
        <f t="shared" si="11"/>
        <v>0.73428951578947377</v>
      </c>
      <c r="W53" s="64">
        <f t="shared" ref="W53" si="34">SUM(W54:W55)</f>
        <v>1322304.2</v>
      </c>
      <c r="X53" s="65">
        <f t="shared" si="3"/>
        <v>6.9594957894736839E-2</v>
      </c>
      <c r="Y53" s="64">
        <f t="shared" ref="Y53" si="35">SUM(Y54:Y55)</f>
        <v>1322304.2</v>
      </c>
      <c r="Z53" s="65">
        <f t="shared" si="4"/>
        <v>6.9594957894736839E-2</v>
      </c>
    </row>
    <row r="54" spans="1:26" ht="27.75" customHeight="1">
      <c r="A54" s="26" t="e">
        <f>+CONCATENATE(#REF!,"=",J54)</f>
        <v>#REF!</v>
      </c>
      <c r="B54" s="66" t="str">
        <f t="shared" ref="B54:B69" si="36">CONCATENATE(C54,"-",D54,"-",E54,"-",F54,"-",G54,"-",H54)</f>
        <v>A-02-02-01-001-005</v>
      </c>
      <c r="C54" s="67" t="s">
        <v>31</v>
      </c>
      <c r="D54" s="68" t="s">
        <v>60</v>
      </c>
      <c r="E54" s="68" t="s">
        <v>60</v>
      </c>
      <c r="F54" s="68" t="s">
        <v>33</v>
      </c>
      <c r="G54" s="68" t="s">
        <v>39</v>
      </c>
      <c r="H54" s="68" t="s">
        <v>48</v>
      </c>
      <c r="I54" s="69"/>
      <c r="J54" s="70">
        <v>10</v>
      </c>
      <c r="K54" s="71" t="s">
        <v>37</v>
      </c>
      <c r="L54" s="72" t="s">
        <v>97</v>
      </c>
      <c r="M54" s="73">
        <v>6000000</v>
      </c>
      <c r="N54" s="73"/>
      <c r="O54" s="73"/>
      <c r="P54" s="73"/>
      <c r="Q54" s="73"/>
      <c r="R54" s="74"/>
      <c r="S54" s="73">
        <f>+M54-R54+N54-O54+P54-Q54</f>
        <v>6000000</v>
      </c>
      <c r="T54" s="73">
        <v>6000000</v>
      </c>
      <c r="U54" s="73">
        <f t="shared" si="9"/>
        <v>0</v>
      </c>
      <c r="V54" s="75">
        <f t="shared" si="11"/>
        <v>1</v>
      </c>
      <c r="W54" s="76">
        <v>1322304.2</v>
      </c>
      <c r="X54" s="75">
        <f t="shared" si="3"/>
        <v>0.22038403333333331</v>
      </c>
      <c r="Y54" s="76">
        <v>1322304.2</v>
      </c>
      <c r="Z54" s="75">
        <f t="shared" si="4"/>
        <v>0.22038403333333331</v>
      </c>
    </row>
    <row r="55" spans="1:26" ht="27.75" customHeight="1">
      <c r="A55" s="26" t="e">
        <f>+CONCATENATE(#REF!,"=",J55)</f>
        <v>#REF!</v>
      </c>
      <c r="B55" s="66" t="str">
        <f t="shared" si="36"/>
        <v>A-02-02-01-001-007</v>
      </c>
      <c r="C55" s="67" t="s">
        <v>31</v>
      </c>
      <c r="D55" s="68" t="s">
        <v>60</v>
      </c>
      <c r="E55" s="68" t="s">
        <v>60</v>
      </c>
      <c r="F55" s="68" t="s">
        <v>33</v>
      </c>
      <c r="G55" s="68" t="s">
        <v>39</v>
      </c>
      <c r="H55" s="68" t="s">
        <v>52</v>
      </c>
      <c r="I55" s="69"/>
      <c r="J55" s="70">
        <v>10</v>
      </c>
      <c r="K55" s="71" t="s">
        <v>37</v>
      </c>
      <c r="L55" s="72" t="s">
        <v>98</v>
      </c>
      <c r="M55" s="73">
        <v>13000000</v>
      </c>
      <c r="N55" s="73"/>
      <c r="O55" s="73"/>
      <c r="P55" s="73"/>
      <c r="Q55" s="73"/>
      <c r="R55" s="74"/>
      <c r="S55" s="73">
        <f>+M55-R55+N55-O55+P55-Q55</f>
        <v>13000000</v>
      </c>
      <c r="T55" s="73">
        <v>7951500.7999999998</v>
      </c>
      <c r="U55" s="73">
        <f t="shared" si="9"/>
        <v>5048499.2</v>
      </c>
      <c r="V55" s="75">
        <f t="shared" si="11"/>
        <v>0.61165390769230765</v>
      </c>
      <c r="W55" s="76">
        <v>0</v>
      </c>
      <c r="X55" s="75">
        <f t="shared" si="3"/>
        <v>0</v>
      </c>
      <c r="Y55" s="76">
        <v>0</v>
      </c>
      <c r="Z55" s="75">
        <f t="shared" si="4"/>
        <v>0</v>
      </c>
    </row>
    <row r="56" spans="1:26" ht="32.15" customHeight="1">
      <c r="A56" s="26" t="e">
        <f>+CONCATENATE(#REF!,"=",J56)</f>
        <v>#REF!</v>
      </c>
      <c r="B56" s="59" t="str">
        <f>CONCATENATE(C56,"-",D56,"-",E56,"-",F56,"-",G56)</f>
        <v>A-02-02-01-002</v>
      </c>
      <c r="C56" s="60" t="s">
        <v>31</v>
      </c>
      <c r="D56" s="61" t="s">
        <v>60</v>
      </c>
      <c r="E56" s="61" t="s">
        <v>60</v>
      </c>
      <c r="F56" s="61" t="s">
        <v>33</v>
      </c>
      <c r="G56" s="61" t="s">
        <v>42</v>
      </c>
      <c r="H56" s="61"/>
      <c r="I56" s="62"/>
      <c r="J56" s="63" t="s">
        <v>36</v>
      </c>
      <c r="K56" s="63" t="s">
        <v>37</v>
      </c>
      <c r="L56" s="59" t="s">
        <v>99</v>
      </c>
      <c r="M56" s="64">
        <f>SUM(M58:M58)</f>
        <v>130000000</v>
      </c>
      <c r="N56" s="64">
        <f t="shared" ref="N56:O56" si="37">SUM(N57:N58)</f>
        <v>0</v>
      </c>
      <c r="O56" s="64">
        <f t="shared" si="37"/>
        <v>0</v>
      </c>
      <c r="P56" s="64">
        <f>SUM(P57:P58)</f>
        <v>66000000</v>
      </c>
      <c r="Q56" s="64">
        <f>SUM(Q57:Q58)</f>
        <v>5776141</v>
      </c>
      <c r="R56" s="64">
        <f>SUM(R57:R58)</f>
        <v>0</v>
      </c>
      <c r="S56" s="64">
        <f>SUM(S57:S58)</f>
        <v>190223859</v>
      </c>
      <c r="T56" s="64">
        <f t="shared" ref="T56:U56" si="38">SUM(T57:T58)</f>
        <v>160336024.49000001</v>
      </c>
      <c r="U56" s="64">
        <f t="shared" si="38"/>
        <v>29887834.509999998</v>
      </c>
      <c r="V56" s="65">
        <f t="shared" si="11"/>
        <v>0.84288072659697233</v>
      </c>
      <c r="W56" s="64">
        <f t="shared" ref="W56" si="39">SUM(W57:W58)</f>
        <v>160336024.49000001</v>
      </c>
      <c r="X56" s="65">
        <f t="shared" si="3"/>
        <v>0.84288072659697233</v>
      </c>
      <c r="Y56" s="64">
        <f t="shared" ref="Y56" si="40">SUM(Y57:Y58)</f>
        <v>160336024.49000001</v>
      </c>
      <c r="Z56" s="65">
        <f t="shared" si="4"/>
        <v>0.84288072659697233</v>
      </c>
    </row>
    <row r="57" spans="1:26" ht="27.75" customHeight="1">
      <c r="A57" s="26" t="e">
        <f>+CONCATENATE(#REF!,"=",J57)</f>
        <v>#REF!</v>
      </c>
      <c r="B57" s="66" t="str">
        <f t="shared" ref="B57" si="41">CONCATENATE(C57,"-",D57,"-",E57,"-",F57,"-",G57,"-",H57)</f>
        <v>A-02-02-01-002-003</v>
      </c>
      <c r="C57" s="67" t="s">
        <v>31</v>
      </c>
      <c r="D57" s="68" t="s">
        <v>60</v>
      </c>
      <c r="E57" s="68" t="s">
        <v>60</v>
      </c>
      <c r="F57" s="68" t="s">
        <v>33</v>
      </c>
      <c r="G57" s="68" t="s">
        <v>42</v>
      </c>
      <c r="H57" s="89" t="s">
        <v>44</v>
      </c>
      <c r="I57" s="69"/>
      <c r="J57" s="70">
        <v>10</v>
      </c>
      <c r="K57" s="71" t="s">
        <v>37</v>
      </c>
      <c r="L57" s="72" t="s">
        <v>100</v>
      </c>
      <c r="M57" s="73">
        <v>0</v>
      </c>
      <c r="N57" s="73"/>
      <c r="O57" s="73"/>
      <c r="P57" s="73">
        <f>44000000+22000000</f>
        <v>66000000</v>
      </c>
      <c r="Q57" s="73"/>
      <c r="R57" s="74"/>
      <c r="S57" s="73">
        <f>+M57-R57+N57-O57+P57-Q57</f>
        <v>66000000</v>
      </c>
      <c r="T57" s="73">
        <v>57098031.490000002</v>
      </c>
      <c r="U57" s="73">
        <f t="shared" ref="U57" si="42">+S57-T57</f>
        <v>8901968.5099999979</v>
      </c>
      <c r="V57" s="75">
        <f t="shared" si="11"/>
        <v>0.86512168924242427</v>
      </c>
      <c r="W57" s="76">
        <v>57098031.490000002</v>
      </c>
      <c r="X57" s="75">
        <f t="shared" si="3"/>
        <v>0.86512168924242427</v>
      </c>
      <c r="Y57" s="76">
        <v>57098031.490000002</v>
      </c>
      <c r="Z57" s="75">
        <f t="shared" si="4"/>
        <v>0.86512168924242427</v>
      </c>
    </row>
    <row r="58" spans="1:26" ht="27.75" customHeight="1">
      <c r="A58" s="26" t="e">
        <f>+CONCATENATE(#REF!,"=",J58)</f>
        <v>#REF!</v>
      </c>
      <c r="B58" s="66" t="str">
        <f t="shared" si="36"/>
        <v>A-02-02-01-002-008</v>
      </c>
      <c r="C58" s="67" t="s">
        <v>31</v>
      </c>
      <c r="D58" s="68" t="s">
        <v>60</v>
      </c>
      <c r="E58" s="68" t="s">
        <v>60</v>
      </c>
      <c r="F58" s="68" t="s">
        <v>33</v>
      </c>
      <c r="G58" s="68" t="s">
        <v>42</v>
      </c>
      <c r="H58" s="68" t="s">
        <v>54</v>
      </c>
      <c r="I58" s="69"/>
      <c r="J58" s="70">
        <v>10</v>
      </c>
      <c r="K58" s="71" t="s">
        <v>37</v>
      </c>
      <c r="L58" s="72" t="s">
        <v>101</v>
      </c>
      <c r="M58" s="73">
        <v>130000000</v>
      </c>
      <c r="N58" s="73"/>
      <c r="O58" s="73"/>
      <c r="P58" s="73"/>
      <c r="Q58" s="73">
        <f>5526141+250000</f>
        <v>5776141</v>
      </c>
      <c r="R58" s="74"/>
      <c r="S58" s="73">
        <f>+M58-R58+N58-O58+P58-Q58</f>
        <v>124223859</v>
      </c>
      <c r="T58" s="73">
        <v>103237993</v>
      </c>
      <c r="U58" s="73">
        <f t="shared" si="9"/>
        <v>20985866</v>
      </c>
      <c r="V58" s="75">
        <f t="shared" si="11"/>
        <v>0.83106412754412984</v>
      </c>
      <c r="W58" s="76">
        <v>103237993</v>
      </c>
      <c r="X58" s="75">
        <f t="shared" si="3"/>
        <v>0.83106412754412984</v>
      </c>
      <c r="Y58" s="76">
        <v>103237993</v>
      </c>
      <c r="Z58" s="75">
        <f t="shared" si="4"/>
        <v>0.83106412754412984</v>
      </c>
    </row>
    <row r="59" spans="1:26" ht="32.15" customHeight="1">
      <c r="A59" s="26" t="e">
        <f>+CONCATENATE(#REF!,"=",J59)</f>
        <v>#REF!</v>
      </c>
      <c r="B59" s="59" t="str">
        <f>CONCATENATE(C59,"-",D59,"-",E59,"-",F59,"-",G59)</f>
        <v>A-02-02-01-003</v>
      </c>
      <c r="C59" s="60" t="s">
        <v>31</v>
      </c>
      <c r="D59" s="61" t="s">
        <v>60</v>
      </c>
      <c r="E59" s="61" t="s">
        <v>60</v>
      </c>
      <c r="F59" s="61" t="s">
        <v>33</v>
      </c>
      <c r="G59" s="61" t="s">
        <v>44</v>
      </c>
      <c r="H59" s="61"/>
      <c r="I59" s="62"/>
      <c r="J59" s="63" t="s">
        <v>36</v>
      </c>
      <c r="K59" s="63" t="s">
        <v>37</v>
      </c>
      <c r="L59" s="59" t="s">
        <v>102</v>
      </c>
      <c r="M59" s="64">
        <f t="shared" ref="M59:U59" si="43">SUM(M60:M64)</f>
        <v>360662489</v>
      </c>
      <c r="N59" s="64">
        <f t="shared" si="43"/>
        <v>0</v>
      </c>
      <c r="O59" s="64">
        <f t="shared" si="43"/>
        <v>0</v>
      </c>
      <c r="P59" s="64">
        <f t="shared" si="43"/>
        <v>638886652</v>
      </c>
      <c r="Q59" s="64">
        <f t="shared" si="43"/>
        <v>157500000</v>
      </c>
      <c r="R59" s="64">
        <f t="shared" si="43"/>
        <v>0</v>
      </c>
      <c r="S59" s="64">
        <f t="shared" si="43"/>
        <v>842049141</v>
      </c>
      <c r="T59" s="64">
        <f t="shared" si="43"/>
        <v>772207114.38999999</v>
      </c>
      <c r="U59" s="64">
        <f t="shared" si="43"/>
        <v>69842026.609999999</v>
      </c>
      <c r="V59" s="65">
        <f t="shared" si="11"/>
        <v>0.91705706566358225</v>
      </c>
      <c r="W59" s="64">
        <f>SUM(W60:W64)</f>
        <v>205237874.39000002</v>
      </c>
      <c r="X59" s="65">
        <f t="shared" si="3"/>
        <v>0.24373621965371736</v>
      </c>
      <c r="Y59" s="64">
        <f>SUM(Y60:Y64)</f>
        <v>205237874.39000002</v>
      </c>
      <c r="Z59" s="65">
        <f t="shared" si="4"/>
        <v>0.24373621965371736</v>
      </c>
    </row>
    <row r="60" spans="1:26" ht="27.75" customHeight="1">
      <c r="A60" s="26" t="e">
        <f>+CONCATENATE(#REF!,"=",J60)</f>
        <v>#REF!</v>
      </c>
      <c r="B60" s="66" t="str">
        <f t="shared" si="36"/>
        <v>A-02-02-01-003-002</v>
      </c>
      <c r="C60" s="67" t="s">
        <v>31</v>
      </c>
      <c r="D60" s="68" t="s">
        <v>60</v>
      </c>
      <c r="E60" s="68" t="s">
        <v>60</v>
      </c>
      <c r="F60" s="68" t="s">
        <v>33</v>
      </c>
      <c r="G60" s="68" t="s">
        <v>44</v>
      </c>
      <c r="H60" s="68" t="s">
        <v>42</v>
      </c>
      <c r="I60" s="69"/>
      <c r="J60" s="70">
        <v>10</v>
      </c>
      <c r="K60" s="71" t="s">
        <v>37</v>
      </c>
      <c r="L60" s="72" t="s">
        <v>103</v>
      </c>
      <c r="M60" s="73">
        <v>154100000</v>
      </c>
      <c r="N60" s="73"/>
      <c r="O60" s="73"/>
      <c r="P60" s="73">
        <f>253475175+121559393</f>
        <v>375034568</v>
      </c>
      <c r="Q60" s="74">
        <f>60000000</f>
        <v>60000000</v>
      </c>
      <c r="R60" s="74"/>
      <c r="S60" s="73">
        <f t="shared" ref="S60:S64" si="44">+M60-R60+N60-O60+P60-Q60</f>
        <v>469134568</v>
      </c>
      <c r="T60" s="73">
        <v>465903980</v>
      </c>
      <c r="U60" s="73">
        <f t="shared" si="9"/>
        <v>3230588</v>
      </c>
      <c r="V60" s="75">
        <f t="shared" si="11"/>
        <v>0.99311372851126156</v>
      </c>
      <c r="W60" s="76">
        <v>432398</v>
      </c>
      <c r="X60" s="75">
        <f t="shared" si="3"/>
        <v>9.2169289899779884E-4</v>
      </c>
      <c r="Y60" s="76">
        <v>432398</v>
      </c>
      <c r="Z60" s="75">
        <f t="shared" si="4"/>
        <v>9.2169289899779884E-4</v>
      </c>
    </row>
    <row r="61" spans="1:26" ht="27.75" customHeight="1">
      <c r="A61" s="26" t="e">
        <f>+CONCATENATE(#REF!,"=",J61)</f>
        <v>#REF!</v>
      </c>
      <c r="B61" s="66" t="str">
        <f t="shared" si="36"/>
        <v>A-02-02-01-003-003</v>
      </c>
      <c r="C61" s="67" t="s">
        <v>31</v>
      </c>
      <c r="D61" s="68" t="s">
        <v>60</v>
      </c>
      <c r="E61" s="68" t="s">
        <v>60</v>
      </c>
      <c r="F61" s="68" t="s">
        <v>33</v>
      </c>
      <c r="G61" s="68" t="s">
        <v>44</v>
      </c>
      <c r="H61" s="68" t="s">
        <v>44</v>
      </c>
      <c r="I61" s="69"/>
      <c r="J61" s="70">
        <v>10</v>
      </c>
      <c r="K61" s="71" t="s">
        <v>37</v>
      </c>
      <c r="L61" s="72" t="s">
        <v>104</v>
      </c>
      <c r="M61" s="73">
        <v>89562489</v>
      </c>
      <c r="N61" s="73"/>
      <c r="O61" s="73"/>
      <c r="P61" s="73">
        <f>21273290</f>
        <v>21273290</v>
      </c>
      <c r="Q61" s="73">
        <f>4500000+3000000</f>
        <v>7500000</v>
      </c>
      <c r="R61" s="74"/>
      <c r="S61" s="73">
        <f t="shared" si="44"/>
        <v>103335779</v>
      </c>
      <c r="T61" s="73">
        <v>85331133.400000006</v>
      </c>
      <c r="U61" s="73">
        <f t="shared" si="9"/>
        <v>18004645.599999994</v>
      </c>
      <c r="V61" s="75">
        <f t="shared" si="11"/>
        <v>0.82576561792793957</v>
      </c>
      <c r="W61" s="76">
        <v>76494093.400000006</v>
      </c>
      <c r="X61" s="75">
        <f t="shared" si="3"/>
        <v>0.74024790000373453</v>
      </c>
      <c r="Y61" s="76">
        <v>76494093.400000006</v>
      </c>
      <c r="Z61" s="75">
        <f t="shared" si="4"/>
        <v>0.74024790000373453</v>
      </c>
    </row>
    <row r="62" spans="1:26" ht="27.75" customHeight="1">
      <c r="A62" s="26" t="e">
        <f>+CONCATENATE(#REF!,"=",J62)</f>
        <v>#REF!</v>
      </c>
      <c r="B62" s="66" t="str">
        <f t="shared" si="36"/>
        <v>A-02-02-01-003-005</v>
      </c>
      <c r="C62" s="67" t="s">
        <v>31</v>
      </c>
      <c r="D62" s="68" t="s">
        <v>60</v>
      </c>
      <c r="E62" s="68" t="s">
        <v>60</v>
      </c>
      <c r="F62" s="68" t="s">
        <v>33</v>
      </c>
      <c r="G62" s="68" t="s">
        <v>44</v>
      </c>
      <c r="H62" s="68" t="s">
        <v>48</v>
      </c>
      <c r="I62" s="69"/>
      <c r="J62" s="70">
        <v>10</v>
      </c>
      <c r="K62" s="71" t="s">
        <v>37</v>
      </c>
      <c r="L62" s="72" t="s">
        <v>105</v>
      </c>
      <c r="M62" s="73">
        <v>14000000</v>
      </c>
      <c r="N62" s="73"/>
      <c r="O62" s="73"/>
      <c r="P62" s="73">
        <f>66000000+33000000</f>
        <v>99000000</v>
      </c>
      <c r="Q62" s="73"/>
      <c r="R62" s="74"/>
      <c r="S62" s="73">
        <f t="shared" si="44"/>
        <v>113000000</v>
      </c>
      <c r="T62" s="73">
        <v>95971839.989999995</v>
      </c>
      <c r="U62" s="73">
        <f t="shared" si="9"/>
        <v>17028160.010000005</v>
      </c>
      <c r="V62" s="75">
        <f t="shared" si="11"/>
        <v>0.8493083184955752</v>
      </c>
      <c r="W62" s="76">
        <v>92366292.959999993</v>
      </c>
      <c r="X62" s="75">
        <f t="shared" si="3"/>
        <v>0.81740082265486724</v>
      </c>
      <c r="Y62" s="76">
        <v>92366292.959999993</v>
      </c>
      <c r="Z62" s="75">
        <f t="shared" si="4"/>
        <v>0.81740082265486724</v>
      </c>
    </row>
    <row r="63" spans="1:26" ht="27.75" customHeight="1">
      <c r="A63" s="26" t="e">
        <f>+CONCATENATE(#REF!,"=",J63)</f>
        <v>#REF!</v>
      </c>
      <c r="B63" s="66" t="str">
        <f t="shared" si="36"/>
        <v>A-02-02-01-003-006</v>
      </c>
      <c r="C63" s="67" t="s">
        <v>31</v>
      </c>
      <c r="D63" s="68" t="s">
        <v>60</v>
      </c>
      <c r="E63" s="68" t="s">
        <v>60</v>
      </c>
      <c r="F63" s="68" t="s">
        <v>33</v>
      </c>
      <c r="G63" s="68" t="s">
        <v>44</v>
      </c>
      <c r="H63" s="68" t="s">
        <v>50</v>
      </c>
      <c r="I63" s="69"/>
      <c r="J63" s="70">
        <v>10</v>
      </c>
      <c r="K63" s="71" t="s">
        <v>37</v>
      </c>
      <c r="L63" s="72" t="s">
        <v>106</v>
      </c>
      <c r="M63" s="73">
        <v>20000000</v>
      </c>
      <c r="N63" s="73"/>
      <c r="O63" s="73"/>
      <c r="P63" s="73"/>
      <c r="Q63" s="73"/>
      <c r="R63" s="74"/>
      <c r="S63" s="73">
        <f t="shared" si="44"/>
        <v>20000000</v>
      </c>
      <c r="T63" s="73">
        <v>20000000</v>
      </c>
      <c r="U63" s="73">
        <f t="shared" si="9"/>
        <v>0</v>
      </c>
      <c r="V63" s="75">
        <f t="shared" si="11"/>
        <v>1</v>
      </c>
      <c r="W63" s="76">
        <v>14122066.27</v>
      </c>
      <c r="X63" s="75">
        <f t="shared" si="3"/>
        <v>0.7061033135</v>
      </c>
      <c r="Y63" s="76">
        <v>14122066.27</v>
      </c>
      <c r="Z63" s="75">
        <f t="shared" si="4"/>
        <v>0.7061033135</v>
      </c>
    </row>
    <row r="64" spans="1:26" ht="27.75" customHeight="1">
      <c r="A64" s="26" t="e">
        <f>+CONCATENATE(#REF!,"=",J64)</f>
        <v>#REF!</v>
      </c>
      <c r="B64" s="66" t="str">
        <f t="shared" si="36"/>
        <v>A-02-02-01-003-008</v>
      </c>
      <c r="C64" s="67" t="s">
        <v>31</v>
      </c>
      <c r="D64" s="68" t="s">
        <v>60</v>
      </c>
      <c r="E64" s="68" t="s">
        <v>60</v>
      </c>
      <c r="F64" s="68" t="s">
        <v>33</v>
      </c>
      <c r="G64" s="68" t="s">
        <v>44</v>
      </c>
      <c r="H64" s="68" t="s">
        <v>54</v>
      </c>
      <c r="I64" s="69"/>
      <c r="J64" s="70">
        <v>10</v>
      </c>
      <c r="K64" s="71" t="s">
        <v>37</v>
      </c>
      <c r="L64" s="72" t="s">
        <v>107</v>
      </c>
      <c r="M64" s="73">
        <v>83000000</v>
      </c>
      <c r="N64" s="73"/>
      <c r="O64" s="73"/>
      <c r="P64" s="90">
        <f>90000000+53578794</f>
        <v>143578794</v>
      </c>
      <c r="Q64" s="74">
        <f>90000000</f>
        <v>90000000</v>
      </c>
      <c r="R64" s="74"/>
      <c r="S64" s="73">
        <f t="shared" si="44"/>
        <v>136578794</v>
      </c>
      <c r="T64" s="73">
        <v>105000161</v>
      </c>
      <c r="U64" s="73">
        <f t="shared" si="9"/>
        <v>31578633</v>
      </c>
      <c r="V64" s="75">
        <f t="shared" si="11"/>
        <v>0.76878816926733151</v>
      </c>
      <c r="W64" s="76">
        <v>21823023.760000002</v>
      </c>
      <c r="X64" s="75">
        <f t="shared" si="3"/>
        <v>0.15978339770667474</v>
      </c>
      <c r="Y64" s="76">
        <v>21823023.760000002</v>
      </c>
      <c r="Z64" s="75">
        <f t="shared" si="4"/>
        <v>0.15978339770667474</v>
      </c>
    </row>
    <row r="65" spans="1:26" ht="32.15" customHeight="1">
      <c r="A65" s="26" t="e">
        <f>+CONCATENATE(#REF!,"=",J65)</f>
        <v>#REF!</v>
      </c>
      <c r="B65" s="59" t="str">
        <f>CONCATENATE(C65,"-",D65,"-",E65,"-",F65,"-",G65)</f>
        <v>A-02-02-01-004</v>
      </c>
      <c r="C65" s="60" t="s">
        <v>31</v>
      </c>
      <c r="D65" s="61" t="s">
        <v>60</v>
      </c>
      <c r="E65" s="61" t="s">
        <v>60</v>
      </c>
      <c r="F65" s="61" t="s">
        <v>33</v>
      </c>
      <c r="G65" s="61" t="s">
        <v>46</v>
      </c>
      <c r="H65" s="61"/>
      <c r="I65" s="62"/>
      <c r="J65" s="63" t="s">
        <v>36</v>
      </c>
      <c r="K65" s="63" t="s">
        <v>37</v>
      </c>
      <c r="L65" s="59" t="s">
        <v>108</v>
      </c>
      <c r="M65" s="64">
        <f t="shared" ref="M65:U65" si="45">SUM(M66:M69)</f>
        <v>925000000</v>
      </c>
      <c r="N65" s="64">
        <f t="shared" si="45"/>
        <v>0</v>
      </c>
      <c r="O65" s="64">
        <f t="shared" si="45"/>
        <v>0</v>
      </c>
      <c r="P65" s="64">
        <f t="shared" si="45"/>
        <v>1367486382</v>
      </c>
      <c r="Q65" s="64">
        <f t="shared" si="45"/>
        <v>2018615232</v>
      </c>
      <c r="R65" s="64">
        <f t="shared" si="45"/>
        <v>0</v>
      </c>
      <c r="S65" s="64">
        <f t="shared" si="45"/>
        <v>273871150</v>
      </c>
      <c r="T65" s="64">
        <f t="shared" si="45"/>
        <v>231627190</v>
      </c>
      <c r="U65" s="64">
        <f t="shared" si="45"/>
        <v>42243960</v>
      </c>
      <c r="V65" s="65">
        <f t="shared" si="11"/>
        <v>0.84575242773837256</v>
      </c>
      <c r="W65" s="64">
        <f>SUM(W66:W69)</f>
        <v>143077315.80000001</v>
      </c>
      <c r="X65" s="65">
        <f t="shared" si="3"/>
        <v>0.5224256581972947</v>
      </c>
      <c r="Y65" s="64">
        <f>SUM(Y66:Y69)</f>
        <v>143077315.80000001</v>
      </c>
      <c r="Z65" s="65">
        <f t="shared" si="4"/>
        <v>0.5224256581972947</v>
      </c>
    </row>
    <row r="66" spans="1:26" ht="27.75" customHeight="1">
      <c r="A66" s="26" t="e">
        <f>+CONCATENATE(#REF!,"=",J66)</f>
        <v>#REF!</v>
      </c>
      <c r="B66" s="66" t="str">
        <f t="shared" si="36"/>
        <v>A-02-02-01-004-002</v>
      </c>
      <c r="C66" s="67" t="s">
        <v>31</v>
      </c>
      <c r="D66" s="68" t="s">
        <v>60</v>
      </c>
      <c r="E66" s="68" t="s">
        <v>60</v>
      </c>
      <c r="F66" s="68" t="s">
        <v>33</v>
      </c>
      <c r="G66" s="68" t="s">
        <v>46</v>
      </c>
      <c r="H66" s="68" t="s">
        <v>42</v>
      </c>
      <c r="I66" s="69"/>
      <c r="J66" s="70">
        <v>10</v>
      </c>
      <c r="K66" s="71" t="s">
        <v>37</v>
      </c>
      <c r="L66" s="72" t="s">
        <v>109</v>
      </c>
      <c r="M66" s="73">
        <v>30000000</v>
      </c>
      <c r="N66" s="73"/>
      <c r="O66" s="73"/>
      <c r="P66" s="73"/>
      <c r="Q66" s="73"/>
      <c r="R66" s="74"/>
      <c r="S66" s="73">
        <f>+M66-R66+N66-O66+P66-Q66</f>
        <v>30000000</v>
      </c>
      <c r="T66" s="73">
        <v>27500000</v>
      </c>
      <c r="U66" s="73">
        <f t="shared" si="9"/>
        <v>2500000</v>
      </c>
      <c r="V66" s="75">
        <f t="shared" si="11"/>
        <v>0.91666666666666663</v>
      </c>
      <c r="W66" s="76">
        <v>17757225.800000001</v>
      </c>
      <c r="X66" s="75">
        <f t="shared" si="3"/>
        <v>0.59190752666666668</v>
      </c>
      <c r="Y66" s="76">
        <v>17757225.800000001</v>
      </c>
      <c r="Z66" s="75">
        <f t="shared" si="4"/>
        <v>0.59190752666666668</v>
      </c>
    </row>
    <row r="67" spans="1:26" ht="27.75" customHeight="1">
      <c r="A67" s="26" t="e">
        <f>+CONCATENATE(#REF!,"=",J67)</f>
        <v>#REF!</v>
      </c>
      <c r="B67" s="66" t="str">
        <f t="shared" si="36"/>
        <v>A-02-02-01-004-005</v>
      </c>
      <c r="C67" s="67" t="s">
        <v>31</v>
      </c>
      <c r="D67" s="68" t="s">
        <v>60</v>
      </c>
      <c r="E67" s="68" t="s">
        <v>60</v>
      </c>
      <c r="F67" s="68" t="s">
        <v>33</v>
      </c>
      <c r="G67" s="68" t="s">
        <v>46</v>
      </c>
      <c r="H67" s="68" t="s">
        <v>48</v>
      </c>
      <c r="I67" s="69"/>
      <c r="J67" s="70">
        <v>10</v>
      </c>
      <c r="K67" s="71" t="s">
        <v>37</v>
      </c>
      <c r="L67" s="72" t="s">
        <v>90</v>
      </c>
      <c r="M67" s="73">
        <v>565000000</v>
      </c>
      <c r="N67" s="73"/>
      <c r="O67" s="73"/>
      <c r="P67" s="73">
        <f>1192599732</f>
        <v>1192599732</v>
      </c>
      <c r="Q67" s="90">
        <f>1517326511+141288721</f>
        <v>1658615232</v>
      </c>
      <c r="R67" s="74"/>
      <c r="S67" s="73">
        <f t="shared" ref="S67:S69" si="46">+M67-R67+N67-O67+P67-Q67</f>
        <v>98984500</v>
      </c>
      <c r="T67" s="73">
        <v>98909770</v>
      </c>
      <c r="U67" s="73">
        <f t="shared" si="9"/>
        <v>74730</v>
      </c>
      <c r="V67" s="75">
        <f t="shared" si="11"/>
        <v>0.9992450333132965</v>
      </c>
      <c r="W67" s="76">
        <v>98909770</v>
      </c>
      <c r="X67" s="75">
        <f t="shared" si="3"/>
        <v>0.9992450333132965</v>
      </c>
      <c r="Y67" s="76">
        <v>98909770</v>
      </c>
      <c r="Z67" s="75">
        <f t="shared" si="4"/>
        <v>0.9992450333132965</v>
      </c>
    </row>
    <row r="68" spans="1:26" ht="27.75" customHeight="1">
      <c r="A68" s="26" t="e">
        <f>+CONCATENATE(#REF!,"=",J68)</f>
        <v>#REF!</v>
      </c>
      <c r="B68" s="66" t="str">
        <f t="shared" si="36"/>
        <v>A-02-02-01-004-006</v>
      </c>
      <c r="C68" s="67" t="s">
        <v>31</v>
      </c>
      <c r="D68" s="68" t="s">
        <v>60</v>
      </c>
      <c r="E68" s="68" t="s">
        <v>60</v>
      </c>
      <c r="F68" s="68" t="s">
        <v>33</v>
      </c>
      <c r="G68" s="68" t="s">
        <v>46</v>
      </c>
      <c r="H68" s="68" t="s">
        <v>50</v>
      </c>
      <c r="I68" s="69"/>
      <c r="J68" s="70">
        <v>10</v>
      </c>
      <c r="K68" s="71" t="s">
        <v>37</v>
      </c>
      <c r="L68" s="72" t="s">
        <v>91</v>
      </c>
      <c r="M68" s="73">
        <v>148000000</v>
      </c>
      <c r="N68" s="73"/>
      <c r="O68" s="73"/>
      <c r="P68" s="73">
        <f>150000000</f>
        <v>150000000</v>
      </c>
      <c r="Q68" s="73">
        <f>110000000+150000000</f>
        <v>260000000</v>
      </c>
      <c r="R68" s="74"/>
      <c r="S68" s="73">
        <f t="shared" si="46"/>
        <v>38000000</v>
      </c>
      <c r="T68" s="73">
        <v>38000000</v>
      </c>
      <c r="U68" s="73">
        <f t="shared" si="9"/>
        <v>0</v>
      </c>
      <c r="V68" s="75">
        <f t="shared" si="11"/>
        <v>1</v>
      </c>
      <c r="W68" s="76">
        <v>0</v>
      </c>
      <c r="X68" s="75">
        <f t="shared" si="3"/>
        <v>0</v>
      </c>
      <c r="Y68" s="76">
        <v>0</v>
      </c>
      <c r="Z68" s="75">
        <f t="shared" si="4"/>
        <v>0</v>
      </c>
    </row>
    <row r="69" spans="1:26" ht="27.75" customHeight="1">
      <c r="A69" s="26" t="e">
        <f>+CONCATENATE(#REF!,"=",J69)</f>
        <v>#REF!</v>
      </c>
      <c r="B69" s="66" t="str">
        <f t="shared" si="36"/>
        <v>A-02-02-01-004-007</v>
      </c>
      <c r="C69" s="67" t="s">
        <v>31</v>
      </c>
      <c r="D69" s="68" t="s">
        <v>60</v>
      </c>
      <c r="E69" s="68" t="s">
        <v>60</v>
      </c>
      <c r="F69" s="68" t="s">
        <v>33</v>
      </c>
      <c r="G69" s="68" t="s">
        <v>46</v>
      </c>
      <c r="H69" s="68" t="s">
        <v>52</v>
      </c>
      <c r="I69" s="69"/>
      <c r="J69" s="70">
        <v>10</v>
      </c>
      <c r="K69" s="71" t="s">
        <v>37</v>
      </c>
      <c r="L69" s="72" t="s">
        <v>92</v>
      </c>
      <c r="M69" s="73">
        <v>182000000</v>
      </c>
      <c r="N69" s="73"/>
      <c r="O69" s="73"/>
      <c r="P69" s="73">
        <v>24886650</v>
      </c>
      <c r="Q69" s="90">
        <f>100000000</f>
        <v>100000000</v>
      </c>
      <c r="R69" s="74"/>
      <c r="S69" s="73">
        <f t="shared" si="46"/>
        <v>106886650</v>
      </c>
      <c r="T69" s="73">
        <v>67217420</v>
      </c>
      <c r="U69" s="73">
        <f t="shared" si="9"/>
        <v>39669230</v>
      </c>
      <c r="V69" s="75">
        <f t="shared" si="11"/>
        <v>0.6288663738642758</v>
      </c>
      <c r="W69" s="76">
        <v>26410320</v>
      </c>
      <c r="X69" s="75">
        <f t="shared" si="3"/>
        <v>0.24708717131653019</v>
      </c>
      <c r="Y69" s="76">
        <v>26410320</v>
      </c>
      <c r="Z69" s="75">
        <f t="shared" si="4"/>
        <v>0.24708717131653019</v>
      </c>
    </row>
    <row r="70" spans="1:26" ht="32.15" customHeight="1">
      <c r="A70" s="26" t="e">
        <f>+CONCATENATE(#REF!,"=",J70)</f>
        <v>#REF!</v>
      </c>
      <c r="B70" s="51" t="str">
        <f>CONCATENATE(C70,"-",D70,"-",E70,"-",F70)</f>
        <v>A-02-02-02</v>
      </c>
      <c r="C70" s="52" t="s">
        <v>31</v>
      </c>
      <c r="D70" s="53" t="s">
        <v>60</v>
      </c>
      <c r="E70" s="53" t="s">
        <v>60</v>
      </c>
      <c r="F70" s="53" t="s">
        <v>60</v>
      </c>
      <c r="G70" s="53"/>
      <c r="H70" s="53"/>
      <c r="I70" s="54"/>
      <c r="J70" s="55" t="s">
        <v>36</v>
      </c>
      <c r="K70" s="55" t="s">
        <v>37</v>
      </c>
      <c r="L70" s="51" t="s">
        <v>110</v>
      </c>
      <c r="M70" s="56">
        <f t="shared" ref="M70:U70" si="47">+M71+M77+M80+M87+M93</f>
        <v>43123337511</v>
      </c>
      <c r="N70" s="56">
        <f t="shared" si="47"/>
        <v>0</v>
      </c>
      <c r="O70" s="56">
        <f t="shared" si="47"/>
        <v>0</v>
      </c>
      <c r="P70" s="56">
        <f t="shared" si="47"/>
        <v>9585060573.7399998</v>
      </c>
      <c r="Q70" s="56">
        <f t="shared" si="47"/>
        <v>12153329447.74</v>
      </c>
      <c r="R70" s="56">
        <f t="shared" si="47"/>
        <v>0</v>
      </c>
      <c r="S70" s="56">
        <f t="shared" si="47"/>
        <v>40555068636.999992</v>
      </c>
      <c r="T70" s="56">
        <f t="shared" si="47"/>
        <v>36808266405.239998</v>
      </c>
      <c r="U70" s="56">
        <f t="shared" si="47"/>
        <v>3746802231.7599998</v>
      </c>
      <c r="V70" s="57">
        <f t="shared" si="11"/>
        <v>0.90761198642525198</v>
      </c>
      <c r="W70" s="58">
        <f>+W71+W77+W80+W87+W93</f>
        <v>33299649013.889999</v>
      </c>
      <c r="X70" s="57">
        <f t="shared" si="3"/>
        <v>0.82109709422386268</v>
      </c>
      <c r="Y70" s="58">
        <f>+Y71+Y77+Y80+Y87+Y93</f>
        <v>33295725347.889999</v>
      </c>
      <c r="Z70" s="57">
        <f t="shared" si="4"/>
        <v>0.8210003451335055</v>
      </c>
    </row>
    <row r="71" spans="1:26" ht="40" customHeight="1">
      <c r="A71" s="26" t="e">
        <f>+CONCATENATE(#REF!,"=",J71)</f>
        <v>#REF!</v>
      </c>
      <c r="B71" s="59" t="str">
        <f>CONCATENATE(C71,"-",D71,"-",E71,"-",F71,"-",G71)</f>
        <v>A-02-02-02-006</v>
      </c>
      <c r="C71" s="60" t="s">
        <v>31</v>
      </c>
      <c r="D71" s="61" t="s">
        <v>60</v>
      </c>
      <c r="E71" s="61" t="s">
        <v>60</v>
      </c>
      <c r="F71" s="61" t="s">
        <v>60</v>
      </c>
      <c r="G71" s="61" t="s">
        <v>50</v>
      </c>
      <c r="H71" s="61"/>
      <c r="I71" s="62"/>
      <c r="J71" s="63" t="s">
        <v>36</v>
      </c>
      <c r="K71" s="63" t="s">
        <v>37</v>
      </c>
      <c r="L71" s="59" t="s">
        <v>111</v>
      </c>
      <c r="M71" s="64">
        <f t="shared" ref="M71:U71" si="48">SUM(M72:M76)</f>
        <v>5553279341</v>
      </c>
      <c r="N71" s="64">
        <f t="shared" si="48"/>
        <v>0</v>
      </c>
      <c r="O71" s="64">
        <f t="shared" si="48"/>
        <v>0</v>
      </c>
      <c r="P71" s="64">
        <f t="shared" si="48"/>
        <v>389763547</v>
      </c>
      <c r="Q71" s="64">
        <f t="shared" si="48"/>
        <v>347504754</v>
      </c>
      <c r="R71" s="64">
        <f t="shared" si="48"/>
        <v>0</v>
      </c>
      <c r="S71" s="64">
        <f t="shared" si="48"/>
        <v>5595538134</v>
      </c>
      <c r="T71" s="64">
        <f t="shared" si="48"/>
        <v>4960486438.4699993</v>
      </c>
      <c r="U71" s="64">
        <f t="shared" si="48"/>
        <v>635051695.53000021</v>
      </c>
      <c r="V71" s="65">
        <f t="shared" si="11"/>
        <v>0.88650748501359411</v>
      </c>
      <c r="W71" s="64">
        <f>SUM(W72:W76)</f>
        <v>4761470416.8699999</v>
      </c>
      <c r="X71" s="65">
        <f t="shared" si="3"/>
        <v>0.85094057137025314</v>
      </c>
      <c r="Y71" s="64">
        <f>SUM(Y72:Y76)</f>
        <v>4761410416.8699999</v>
      </c>
      <c r="Z71" s="65">
        <f t="shared" si="4"/>
        <v>0.85092984854099818</v>
      </c>
    </row>
    <row r="72" spans="1:26" ht="27.75" customHeight="1">
      <c r="A72" s="26" t="e">
        <f>+CONCATENATE(#REF!,"=",J72)</f>
        <v>#REF!</v>
      </c>
      <c r="B72" s="66" t="str">
        <f t="shared" ref="B72:B76" si="49">CONCATENATE(C72,"-",D72,"-",E72,"-",F72,"-",G72,"-",H72)</f>
        <v>A-02-02-02-006-003</v>
      </c>
      <c r="C72" s="67" t="s">
        <v>31</v>
      </c>
      <c r="D72" s="68" t="s">
        <v>60</v>
      </c>
      <c r="E72" s="68" t="s">
        <v>60</v>
      </c>
      <c r="F72" s="68" t="s">
        <v>60</v>
      </c>
      <c r="G72" s="68" t="s">
        <v>50</v>
      </c>
      <c r="H72" s="68" t="s">
        <v>44</v>
      </c>
      <c r="I72" s="69"/>
      <c r="J72" s="70">
        <v>10</v>
      </c>
      <c r="K72" s="71" t="s">
        <v>37</v>
      </c>
      <c r="L72" s="72" t="s">
        <v>112</v>
      </c>
      <c r="M72" s="73">
        <v>182500000</v>
      </c>
      <c r="N72" s="73"/>
      <c r="O72" s="73"/>
      <c r="P72" s="73">
        <f>15690970</f>
        <v>15690970</v>
      </c>
      <c r="Q72" s="73"/>
      <c r="R72" s="74"/>
      <c r="S72" s="73">
        <f t="shared" ref="S72:S76" si="50">+M72-R72+N72-O72+P72-Q72</f>
        <v>198190970</v>
      </c>
      <c r="T72" s="73">
        <v>181302623</v>
      </c>
      <c r="U72" s="73">
        <f t="shared" si="9"/>
        <v>16888347</v>
      </c>
      <c r="V72" s="75">
        <f t="shared" si="11"/>
        <v>0.91478750520268404</v>
      </c>
      <c r="W72" s="76">
        <v>181302623</v>
      </c>
      <c r="X72" s="75">
        <f t="shared" ref="X72:X135" si="51">+W72/S72</f>
        <v>0.91478750520268404</v>
      </c>
      <c r="Y72" s="76">
        <v>181302623</v>
      </c>
      <c r="Z72" s="75">
        <f t="shared" ref="Z72:Z135" si="52">+Y72/S72</f>
        <v>0.91478750520268404</v>
      </c>
    </row>
    <row r="73" spans="1:26" ht="27.75" customHeight="1">
      <c r="A73" s="26" t="e">
        <f>+CONCATENATE(#REF!,"=",J73)</f>
        <v>#REF!</v>
      </c>
      <c r="B73" s="66" t="str">
        <f t="shared" si="49"/>
        <v>A-02-02-02-006-004</v>
      </c>
      <c r="C73" s="67" t="s">
        <v>31</v>
      </c>
      <c r="D73" s="68" t="s">
        <v>60</v>
      </c>
      <c r="E73" s="68" t="s">
        <v>60</v>
      </c>
      <c r="F73" s="68" t="s">
        <v>60</v>
      </c>
      <c r="G73" s="68" t="s">
        <v>50</v>
      </c>
      <c r="H73" s="68" t="s">
        <v>46</v>
      </c>
      <c r="I73" s="69"/>
      <c r="J73" s="70">
        <v>10</v>
      </c>
      <c r="K73" s="71" t="s">
        <v>37</v>
      </c>
      <c r="L73" s="72" t="s">
        <v>113</v>
      </c>
      <c r="M73" s="73">
        <v>2460219321</v>
      </c>
      <c r="N73" s="73"/>
      <c r="O73" s="73"/>
      <c r="P73" s="73">
        <f>35000000+13000000+4072577+77000000+180000000+25000000+7000000</f>
        <v>341072577</v>
      </c>
      <c r="Q73" s="73">
        <f>77000000</f>
        <v>77000000</v>
      </c>
      <c r="R73" s="74"/>
      <c r="S73" s="73">
        <f t="shared" si="50"/>
        <v>2724291898</v>
      </c>
      <c r="T73" s="73">
        <v>2283186842.5999999</v>
      </c>
      <c r="U73" s="73">
        <f t="shared" si="9"/>
        <v>441105055.4000001</v>
      </c>
      <c r="V73" s="75">
        <f t="shared" si="11"/>
        <v>0.83808451079569302</v>
      </c>
      <c r="W73" s="76">
        <v>2121774037</v>
      </c>
      <c r="X73" s="75">
        <f t="shared" si="51"/>
        <v>0.77883505749059789</v>
      </c>
      <c r="Y73" s="76">
        <v>2121714037</v>
      </c>
      <c r="Z73" s="75">
        <f t="shared" si="52"/>
        <v>0.77881303341893215</v>
      </c>
    </row>
    <row r="74" spans="1:26" ht="27.75" customHeight="1">
      <c r="A74" s="26" t="e">
        <f>+CONCATENATE(#REF!,"=",J74)</f>
        <v>#REF!</v>
      </c>
      <c r="B74" s="66" t="str">
        <f t="shared" si="49"/>
        <v>A-02-02-02-006-005</v>
      </c>
      <c r="C74" s="67" t="s">
        <v>31</v>
      </c>
      <c r="D74" s="68" t="s">
        <v>60</v>
      </c>
      <c r="E74" s="68" t="s">
        <v>60</v>
      </c>
      <c r="F74" s="68" t="s">
        <v>60</v>
      </c>
      <c r="G74" s="68" t="s">
        <v>50</v>
      </c>
      <c r="H74" s="68" t="s">
        <v>48</v>
      </c>
      <c r="I74" s="69"/>
      <c r="J74" s="70">
        <v>10</v>
      </c>
      <c r="K74" s="71" t="s">
        <v>37</v>
      </c>
      <c r="L74" s="72" t="s">
        <v>114</v>
      </c>
      <c r="M74" s="73">
        <v>114000000</v>
      </c>
      <c r="N74" s="73"/>
      <c r="O74" s="73"/>
      <c r="P74" s="74">
        <v>33000000</v>
      </c>
      <c r="Q74" s="73">
        <f>33000000</f>
        <v>33000000</v>
      </c>
      <c r="R74" s="74"/>
      <c r="S74" s="73">
        <f t="shared" si="50"/>
        <v>114000000</v>
      </c>
      <c r="T74" s="73">
        <v>53741088</v>
      </c>
      <c r="U74" s="73">
        <f t="shared" si="9"/>
        <v>60258912</v>
      </c>
      <c r="V74" s="75">
        <f t="shared" si="11"/>
        <v>0.47141305263157895</v>
      </c>
      <c r="W74" s="76">
        <v>16137872</v>
      </c>
      <c r="X74" s="75">
        <f t="shared" si="51"/>
        <v>0.14156028070175439</v>
      </c>
      <c r="Y74" s="76">
        <v>16137872</v>
      </c>
      <c r="Z74" s="75">
        <f t="shared" si="52"/>
        <v>0.14156028070175439</v>
      </c>
    </row>
    <row r="75" spans="1:26" ht="27.75" customHeight="1">
      <c r="A75" s="26" t="e">
        <f>+CONCATENATE(#REF!,"=",J75)</f>
        <v>#REF!</v>
      </c>
      <c r="B75" s="66" t="str">
        <f t="shared" si="49"/>
        <v>A-02-02-02-006-008</v>
      </c>
      <c r="C75" s="67" t="s">
        <v>31</v>
      </c>
      <c r="D75" s="68" t="s">
        <v>60</v>
      </c>
      <c r="E75" s="68" t="s">
        <v>60</v>
      </c>
      <c r="F75" s="68" t="s">
        <v>60</v>
      </c>
      <c r="G75" s="68" t="s">
        <v>50</v>
      </c>
      <c r="H75" s="68" t="s">
        <v>54</v>
      </c>
      <c r="I75" s="69"/>
      <c r="J75" s="70">
        <v>10</v>
      </c>
      <c r="K75" s="71" t="s">
        <v>37</v>
      </c>
      <c r="L75" s="72" t="s">
        <v>115</v>
      </c>
      <c r="M75" s="73">
        <v>1530960020</v>
      </c>
      <c r="N75" s="73"/>
      <c r="O75" s="73"/>
      <c r="P75" s="73"/>
      <c r="Q75" s="73">
        <f>37477</f>
        <v>37477</v>
      </c>
      <c r="R75" s="74"/>
      <c r="S75" s="73">
        <f t="shared" si="50"/>
        <v>1530922543</v>
      </c>
      <c r="T75" s="73">
        <v>1527765323.5799999</v>
      </c>
      <c r="U75" s="73">
        <f t="shared" si="9"/>
        <v>3157219.4200000763</v>
      </c>
      <c r="V75" s="75">
        <f t="shared" si="11"/>
        <v>0.99793770139813009</v>
      </c>
      <c r="W75" s="76">
        <v>1527765323.5799999</v>
      </c>
      <c r="X75" s="75">
        <f t="shared" si="51"/>
        <v>0.99793770139813009</v>
      </c>
      <c r="Y75" s="76">
        <v>1527765323.5799999</v>
      </c>
      <c r="Z75" s="75">
        <f t="shared" si="52"/>
        <v>0.99793770139813009</v>
      </c>
    </row>
    <row r="76" spans="1:26" ht="27.75" customHeight="1">
      <c r="A76" s="26" t="e">
        <f>+CONCATENATE(#REF!,"=",J76)</f>
        <v>#REF!</v>
      </c>
      <c r="B76" s="66" t="str">
        <f t="shared" si="49"/>
        <v>A-02-02-02-006-009</v>
      </c>
      <c r="C76" s="67" t="s">
        <v>31</v>
      </c>
      <c r="D76" s="68" t="s">
        <v>60</v>
      </c>
      <c r="E76" s="68" t="s">
        <v>60</v>
      </c>
      <c r="F76" s="68" t="s">
        <v>60</v>
      </c>
      <c r="G76" s="68" t="s">
        <v>50</v>
      </c>
      <c r="H76" s="68" t="s">
        <v>56</v>
      </c>
      <c r="I76" s="69"/>
      <c r="J76" s="70">
        <v>10</v>
      </c>
      <c r="K76" s="71" t="s">
        <v>37</v>
      </c>
      <c r="L76" s="72" t="s">
        <v>116</v>
      </c>
      <c r="M76" s="73">
        <v>1265600000</v>
      </c>
      <c r="N76" s="73"/>
      <c r="O76" s="73"/>
      <c r="P76" s="73"/>
      <c r="Q76" s="73">
        <f>100000000+15717277+121750000</f>
        <v>237467277</v>
      </c>
      <c r="R76" s="74"/>
      <c r="S76" s="73">
        <f t="shared" si="50"/>
        <v>1028132723</v>
      </c>
      <c r="T76" s="73">
        <v>914490561.28999996</v>
      </c>
      <c r="U76" s="73">
        <f t="shared" si="9"/>
        <v>113642161.71000004</v>
      </c>
      <c r="V76" s="75">
        <f t="shared" si="11"/>
        <v>0.88946742072521312</v>
      </c>
      <c r="W76" s="76">
        <v>914490561.28999996</v>
      </c>
      <c r="X76" s="75">
        <f t="shared" si="51"/>
        <v>0.88946742072521312</v>
      </c>
      <c r="Y76" s="76">
        <v>914490561.28999996</v>
      </c>
      <c r="Z76" s="75">
        <f t="shared" si="52"/>
        <v>0.88946742072521312</v>
      </c>
    </row>
    <row r="77" spans="1:26" ht="32.15" customHeight="1">
      <c r="A77" s="26" t="e">
        <f>+CONCATENATE(#REF!,"=",J77)</f>
        <v>#REF!</v>
      </c>
      <c r="B77" s="59" t="str">
        <f>CONCATENATE(C77,"-",D77,"-",E77,"-",F77,"-",G77)</f>
        <v>A-02-02-02-007</v>
      </c>
      <c r="C77" s="60" t="s">
        <v>31</v>
      </c>
      <c r="D77" s="61" t="s">
        <v>60</v>
      </c>
      <c r="E77" s="61" t="s">
        <v>60</v>
      </c>
      <c r="F77" s="61" t="s">
        <v>60</v>
      </c>
      <c r="G77" s="61" t="s">
        <v>52</v>
      </c>
      <c r="H77" s="61"/>
      <c r="I77" s="62"/>
      <c r="J77" s="63" t="s">
        <v>36</v>
      </c>
      <c r="K77" s="63" t="s">
        <v>37</v>
      </c>
      <c r="L77" s="59" t="s">
        <v>117</v>
      </c>
      <c r="M77" s="64">
        <f>SUM(M78:M79)</f>
        <v>16189463994</v>
      </c>
      <c r="N77" s="64">
        <f t="shared" ref="N77:Y77" si="53">SUM(N78:N79)</f>
        <v>0</v>
      </c>
      <c r="O77" s="64">
        <f t="shared" si="53"/>
        <v>0</v>
      </c>
      <c r="P77" s="64">
        <f t="shared" si="53"/>
        <v>206900054</v>
      </c>
      <c r="Q77" s="64">
        <f t="shared" si="53"/>
        <v>618439325.44000006</v>
      </c>
      <c r="R77" s="64">
        <f t="shared" si="53"/>
        <v>0</v>
      </c>
      <c r="S77" s="64">
        <f t="shared" si="53"/>
        <v>15777924722.559999</v>
      </c>
      <c r="T77" s="64">
        <f t="shared" si="53"/>
        <v>15347059000.77</v>
      </c>
      <c r="U77" s="64">
        <f t="shared" si="53"/>
        <v>430865721.78999949</v>
      </c>
      <c r="V77" s="65">
        <f t="shared" si="11"/>
        <v>0.97269186351396852</v>
      </c>
      <c r="W77" s="64">
        <f t="shared" si="53"/>
        <v>14363030547.77</v>
      </c>
      <c r="X77" s="65">
        <f t="shared" si="51"/>
        <v>0.91032444382454691</v>
      </c>
      <c r="Y77" s="64">
        <f t="shared" si="53"/>
        <v>14363030547.77</v>
      </c>
      <c r="Z77" s="65">
        <f t="shared" si="52"/>
        <v>0.91032444382454691</v>
      </c>
    </row>
    <row r="78" spans="1:26" ht="28.5" customHeight="1">
      <c r="A78" s="26" t="e">
        <f>+CONCATENATE(#REF!,"=",J78)</f>
        <v>#REF!</v>
      </c>
      <c r="B78" s="66" t="str">
        <f t="shared" ref="B78:B79" si="54">CONCATENATE(C78,"-",D78,"-",E78,"-",F78,"-",G78,"-",H78)</f>
        <v>A-02-02-02-007-001</v>
      </c>
      <c r="C78" s="67" t="s">
        <v>31</v>
      </c>
      <c r="D78" s="68" t="s">
        <v>60</v>
      </c>
      <c r="E78" s="68" t="s">
        <v>60</v>
      </c>
      <c r="F78" s="68" t="s">
        <v>60</v>
      </c>
      <c r="G78" s="68" t="s">
        <v>52</v>
      </c>
      <c r="H78" s="68" t="s">
        <v>39</v>
      </c>
      <c r="I78" s="69"/>
      <c r="J78" s="70">
        <v>10</v>
      </c>
      <c r="K78" s="71" t="s">
        <v>37</v>
      </c>
      <c r="L78" s="72" t="s">
        <v>118</v>
      </c>
      <c r="M78" s="73">
        <v>718200000</v>
      </c>
      <c r="N78" s="73"/>
      <c r="O78" s="73"/>
      <c r="P78" s="73">
        <f>201600054+250000</f>
        <v>201850054</v>
      </c>
      <c r="Q78" s="73"/>
      <c r="R78" s="74"/>
      <c r="S78" s="73">
        <f>+M78-R78+N78-O78+P78-Q78</f>
        <v>920050054</v>
      </c>
      <c r="T78" s="73">
        <v>914874475.26999998</v>
      </c>
      <c r="U78" s="73">
        <f t="shared" si="9"/>
        <v>5175578.7300000191</v>
      </c>
      <c r="V78" s="75">
        <f t="shared" si="11"/>
        <v>0.99437467699991022</v>
      </c>
      <c r="W78" s="76">
        <v>218953781.27000001</v>
      </c>
      <c r="X78" s="75">
        <f t="shared" si="51"/>
        <v>0.2379802928308942</v>
      </c>
      <c r="Y78" s="76">
        <v>218953781.27000001</v>
      </c>
      <c r="Z78" s="75">
        <f t="shared" si="52"/>
        <v>0.2379802928308942</v>
      </c>
    </row>
    <row r="79" spans="1:26" ht="28.5" customHeight="1">
      <c r="A79" s="26" t="e">
        <f>+CONCATENATE(#REF!,"=",J79)</f>
        <v>#REF!</v>
      </c>
      <c r="B79" s="66" t="str">
        <f t="shared" si="54"/>
        <v>A-02-02-02-007-002</v>
      </c>
      <c r="C79" s="67" t="s">
        <v>31</v>
      </c>
      <c r="D79" s="68" t="s">
        <v>60</v>
      </c>
      <c r="E79" s="68" t="s">
        <v>60</v>
      </c>
      <c r="F79" s="68" t="s">
        <v>60</v>
      </c>
      <c r="G79" s="68" t="s">
        <v>52</v>
      </c>
      <c r="H79" s="68" t="s">
        <v>42</v>
      </c>
      <c r="I79" s="69"/>
      <c r="J79" s="70">
        <v>10</v>
      </c>
      <c r="K79" s="71" t="s">
        <v>37</v>
      </c>
      <c r="L79" s="72" t="s">
        <v>119</v>
      </c>
      <c r="M79" s="73">
        <v>15471263994</v>
      </c>
      <c r="N79" s="73"/>
      <c r="O79" s="73"/>
      <c r="P79" s="73">
        <f>3300000+1750000</f>
        <v>5050000</v>
      </c>
      <c r="Q79" s="73">
        <f>249607469.44+214062577+154769279</f>
        <v>618439325.44000006</v>
      </c>
      <c r="R79" s="74"/>
      <c r="S79" s="73">
        <f>+M79-R79+N79-O79+P79-Q79</f>
        <v>14857874668.559999</v>
      </c>
      <c r="T79" s="73">
        <v>14432184525.5</v>
      </c>
      <c r="U79" s="73">
        <f t="shared" si="9"/>
        <v>425690143.05999947</v>
      </c>
      <c r="V79" s="75">
        <f t="shared" si="11"/>
        <v>0.97134919007219911</v>
      </c>
      <c r="W79" s="76">
        <v>14144076766.5</v>
      </c>
      <c r="X79" s="75">
        <f t="shared" si="51"/>
        <v>0.95195827680721856</v>
      </c>
      <c r="Y79" s="76">
        <v>14144076766.5</v>
      </c>
      <c r="Z79" s="75">
        <f t="shared" si="52"/>
        <v>0.95195827680721856</v>
      </c>
    </row>
    <row r="80" spans="1:26" ht="32.15" customHeight="1">
      <c r="A80" s="26" t="e">
        <f>+CONCATENATE(#REF!,"=",J80)</f>
        <v>#REF!</v>
      </c>
      <c r="B80" s="59" t="str">
        <f>CONCATENATE(C80,"-",D80,"-",E80,"-",F80,"-",G80)</f>
        <v>A-02-02-02-008</v>
      </c>
      <c r="C80" s="60" t="s">
        <v>31</v>
      </c>
      <c r="D80" s="61" t="s">
        <v>60</v>
      </c>
      <c r="E80" s="61" t="s">
        <v>60</v>
      </c>
      <c r="F80" s="61" t="s">
        <v>60</v>
      </c>
      <c r="G80" s="61" t="s">
        <v>54</v>
      </c>
      <c r="H80" s="61"/>
      <c r="I80" s="62"/>
      <c r="J80" s="63" t="s">
        <v>36</v>
      </c>
      <c r="K80" s="63" t="s">
        <v>37</v>
      </c>
      <c r="L80" s="59" t="s">
        <v>120</v>
      </c>
      <c r="M80" s="64">
        <f>SUM(M81:M86)</f>
        <v>18297410176</v>
      </c>
      <c r="N80" s="64">
        <f t="shared" ref="N80:U80" si="55">SUM(N81:N86)</f>
        <v>0</v>
      </c>
      <c r="O80" s="64">
        <f t="shared" si="55"/>
        <v>0</v>
      </c>
      <c r="P80" s="64">
        <f>SUM(P81:P86)</f>
        <v>3340803077</v>
      </c>
      <c r="Q80" s="64">
        <f t="shared" si="55"/>
        <v>7452750864.2999992</v>
      </c>
      <c r="R80" s="64">
        <f t="shared" si="55"/>
        <v>0</v>
      </c>
      <c r="S80" s="64">
        <f t="shared" si="55"/>
        <v>14185462388.699999</v>
      </c>
      <c r="T80" s="64">
        <f t="shared" si="55"/>
        <v>13239254566.1</v>
      </c>
      <c r="U80" s="64">
        <f t="shared" si="55"/>
        <v>946207822.5999999</v>
      </c>
      <c r="V80" s="65">
        <f t="shared" si="11"/>
        <v>0.93329735776863088</v>
      </c>
      <c r="W80" s="64">
        <f t="shared" ref="W80:Y80" si="56">SUM(W81:W86)</f>
        <v>11656310993.35</v>
      </c>
      <c r="X80" s="65">
        <f t="shared" si="51"/>
        <v>0.82170821605612965</v>
      </c>
      <c r="Y80" s="64">
        <f t="shared" si="56"/>
        <v>11655427593.35</v>
      </c>
      <c r="Z80" s="65">
        <f t="shared" si="52"/>
        <v>0.82164594103288446</v>
      </c>
    </row>
    <row r="81" spans="1:26" ht="28.5" customHeight="1">
      <c r="A81" s="26" t="e">
        <f>+CONCATENATE(#REF!,"=",J81)</f>
        <v>#REF!</v>
      </c>
      <c r="B81" s="66" t="str">
        <f t="shared" ref="B81:B92" si="57">CONCATENATE(C81,"-",D81,"-",E81,"-",F81,"-",G81,"-",H81)</f>
        <v>A-02-02-02-008-002</v>
      </c>
      <c r="C81" s="67" t="s">
        <v>31</v>
      </c>
      <c r="D81" s="68" t="s">
        <v>60</v>
      </c>
      <c r="E81" s="68" t="s">
        <v>60</v>
      </c>
      <c r="F81" s="68" t="s">
        <v>60</v>
      </c>
      <c r="G81" s="68" t="s">
        <v>54</v>
      </c>
      <c r="H81" s="68" t="s">
        <v>42</v>
      </c>
      <c r="I81" s="69"/>
      <c r="J81" s="70">
        <v>10</v>
      </c>
      <c r="K81" s="71" t="s">
        <v>37</v>
      </c>
      <c r="L81" s="72" t="s">
        <v>121</v>
      </c>
      <c r="M81" s="73">
        <v>57307000</v>
      </c>
      <c r="N81" s="73"/>
      <c r="O81" s="73"/>
      <c r="P81" s="73"/>
      <c r="Q81" s="90">
        <f>16291500</f>
        <v>16291500</v>
      </c>
      <c r="R81" s="74"/>
      <c r="S81" s="73">
        <f t="shared" ref="S81:S85" si="58">+M81-R81+N81-O81+P81-Q81</f>
        <v>41015500</v>
      </c>
      <c r="T81" s="73">
        <v>19071090.27</v>
      </c>
      <c r="U81" s="73">
        <f t="shared" si="9"/>
        <v>21944409.73</v>
      </c>
      <c r="V81" s="75">
        <f t="shared" si="11"/>
        <v>0.46497276078555666</v>
      </c>
      <c r="W81" s="76">
        <v>19071090.27</v>
      </c>
      <c r="X81" s="75">
        <f t="shared" si="51"/>
        <v>0.46497276078555666</v>
      </c>
      <c r="Y81" s="76">
        <v>19071090.27</v>
      </c>
      <c r="Z81" s="75">
        <f t="shared" si="52"/>
        <v>0.46497276078555666</v>
      </c>
    </row>
    <row r="82" spans="1:26" ht="28.5" customHeight="1">
      <c r="A82" s="26" t="e">
        <f>+CONCATENATE(#REF!,"=",J82)</f>
        <v>#REF!</v>
      </c>
      <c r="B82" s="66" t="str">
        <f t="shared" si="57"/>
        <v>A-02-02-02-008-003</v>
      </c>
      <c r="C82" s="67" t="s">
        <v>31</v>
      </c>
      <c r="D82" s="68" t="s">
        <v>60</v>
      </c>
      <c r="E82" s="68" t="s">
        <v>60</v>
      </c>
      <c r="F82" s="68" t="s">
        <v>60</v>
      </c>
      <c r="G82" s="68" t="s">
        <v>54</v>
      </c>
      <c r="H82" s="68" t="s">
        <v>44</v>
      </c>
      <c r="I82" s="69"/>
      <c r="J82" s="70">
        <v>10</v>
      </c>
      <c r="K82" s="71" t="s">
        <v>37</v>
      </c>
      <c r="L82" s="72" t="s">
        <v>122</v>
      </c>
      <c r="M82" s="73">
        <v>6648501421</v>
      </c>
      <c r="N82" s="73"/>
      <c r="O82" s="73"/>
      <c r="P82" s="73">
        <f>1062000000+253333318+300000000+55000000</f>
        <v>1670333318</v>
      </c>
      <c r="Q82" s="73">
        <f>3170048097+5000000+294000000+350000000+90133333</f>
        <v>3909181430</v>
      </c>
      <c r="R82" s="74"/>
      <c r="S82" s="73">
        <f t="shared" si="58"/>
        <v>4409653309</v>
      </c>
      <c r="T82" s="73">
        <v>4330482905.6700001</v>
      </c>
      <c r="U82" s="73">
        <f t="shared" si="9"/>
        <v>79170403.329999924</v>
      </c>
      <c r="V82" s="75">
        <f t="shared" si="11"/>
        <v>0.98204611614967219</v>
      </c>
      <c r="W82" s="76">
        <v>4235644573.6700001</v>
      </c>
      <c r="X82" s="75">
        <f t="shared" si="51"/>
        <v>0.96053913468098451</v>
      </c>
      <c r="Y82" s="76">
        <v>4235644573.6700001</v>
      </c>
      <c r="Z82" s="75">
        <f t="shared" si="52"/>
        <v>0.96053913468098451</v>
      </c>
    </row>
    <row r="83" spans="1:26" ht="28.5" customHeight="1">
      <c r="A83" s="26" t="e">
        <f>+CONCATENATE(#REF!,"=",J83)</f>
        <v>#REF!</v>
      </c>
      <c r="B83" s="66" t="str">
        <f t="shared" si="57"/>
        <v>A-02-02-02-008-004</v>
      </c>
      <c r="C83" s="67" t="s">
        <v>31</v>
      </c>
      <c r="D83" s="68" t="s">
        <v>60</v>
      </c>
      <c r="E83" s="68" t="s">
        <v>60</v>
      </c>
      <c r="F83" s="68" t="s">
        <v>60</v>
      </c>
      <c r="G83" s="68" t="s">
        <v>54</v>
      </c>
      <c r="H83" s="68" t="s">
        <v>46</v>
      </c>
      <c r="I83" s="69"/>
      <c r="J83" s="70">
        <v>10</v>
      </c>
      <c r="K83" s="71" t="s">
        <v>37</v>
      </c>
      <c r="L83" s="72" t="s">
        <v>123</v>
      </c>
      <c r="M83" s="73">
        <v>2672983340</v>
      </c>
      <c r="N83" s="73"/>
      <c r="O83" s="73"/>
      <c r="P83" s="73"/>
      <c r="Q83" s="73">
        <f>200000000+992130+10722948+200000000+500000000+12788879.56+250000000</f>
        <v>1174503957.5599999</v>
      </c>
      <c r="R83" s="74"/>
      <c r="S83" s="73">
        <f t="shared" si="58"/>
        <v>1498479382.4400001</v>
      </c>
      <c r="T83" s="73">
        <v>1450190744.1300001</v>
      </c>
      <c r="U83" s="73">
        <f t="shared" si="9"/>
        <v>48288638.309999943</v>
      </c>
      <c r="V83" s="75">
        <f t="shared" si="11"/>
        <v>0.96777490643123121</v>
      </c>
      <c r="W83" s="76">
        <v>1449144778.1300001</v>
      </c>
      <c r="X83" s="75">
        <f t="shared" si="51"/>
        <v>0.96707688815199611</v>
      </c>
      <c r="Y83" s="76">
        <v>1449144778.1300001</v>
      </c>
      <c r="Z83" s="75">
        <f t="shared" si="52"/>
        <v>0.96707688815199611</v>
      </c>
    </row>
    <row r="84" spans="1:26" ht="28.5" customHeight="1">
      <c r="A84" s="26" t="e">
        <f>+CONCATENATE(#REF!,"=",J84)</f>
        <v>#REF!</v>
      </c>
      <c r="B84" s="66" t="str">
        <f t="shared" si="57"/>
        <v>A-02-02-02-008-005</v>
      </c>
      <c r="C84" s="67" t="s">
        <v>31</v>
      </c>
      <c r="D84" s="68" t="s">
        <v>60</v>
      </c>
      <c r="E84" s="68" t="s">
        <v>60</v>
      </c>
      <c r="F84" s="68" t="s">
        <v>60</v>
      </c>
      <c r="G84" s="68" t="s">
        <v>54</v>
      </c>
      <c r="H84" s="68" t="s">
        <v>48</v>
      </c>
      <c r="I84" s="69"/>
      <c r="J84" s="70">
        <v>10</v>
      </c>
      <c r="K84" s="71" t="s">
        <v>37</v>
      </c>
      <c r="L84" s="72" t="s">
        <v>124</v>
      </c>
      <c r="M84" s="73">
        <v>7515815535</v>
      </c>
      <c r="N84" s="73"/>
      <c r="O84" s="73"/>
      <c r="P84" s="73">
        <f>5088644+10000000+2617440+133407037+357419390+83205000+299000000+500000000+69007613</f>
        <v>1459745124</v>
      </c>
      <c r="Q84" s="73">
        <f>110000000+55000000+5000000+116725848.56+6471727+24886650+6027045+136148747+100000000+30000000+3300000+768514580.74+319400761</f>
        <v>1681475359.3</v>
      </c>
      <c r="R84" s="74"/>
      <c r="S84" s="73">
        <f t="shared" si="58"/>
        <v>7294085299.6999998</v>
      </c>
      <c r="T84" s="73">
        <v>6895994292.7399998</v>
      </c>
      <c r="U84" s="73">
        <f t="shared" si="9"/>
        <v>398091006.96000004</v>
      </c>
      <c r="V84" s="75">
        <f t="shared" si="11"/>
        <v>0.94542276507564649</v>
      </c>
      <c r="W84" s="76">
        <v>5610421945.0100002</v>
      </c>
      <c r="X84" s="75">
        <f t="shared" si="51"/>
        <v>0.76917416159648599</v>
      </c>
      <c r="Y84" s="76">
        <v>5610421945.0100002</v>
      </c>
      <c r="Z84" s="75">
        <f t="shared" si="52"/>
        <v>0.76917416159648599</v>
      </c>
    </row>
    <row r="85" spans="1:26" ht="28.5" customHeight="1">
      <c r="A85" s="26" t="e">
        <f>+CONCATENATE(#REF!,"=",J85)</f>
        <v>#REF!</v>
      </c>
      <c r="B85" s="66" t="str">
        <f t="shared" si="57"/>
        <v>A-02-02-02-008-007</v>
      </c>
      <c r="C85" s="67" t="s">
        <v>31</v>
      </c>
      <c r="D85" s="68" t="s">
        <v>60</v>
      </c>
      <c r="E85" s="68" t="s">
        <v>60</v>
      </c>
      <c r="F85" s="68" t="s">
        <v>60</v>
      </c>
      <c r="G85" s="68" t="s">
        <v>54</v>
      </c>
      <c r="H85" s="68" t="s">
        <v>52</v>
      </c>
      <c r="I85" s="69"/>
      <c r="J85" s="70">
        <v>10</v>
      </c>
      <c r="K85" s="71" t="s">
        <v>37</v>
      </c>
      <c r="L85" s="72" t="s">
        <v>125</v>
      </c>
      <c r="M85" s="73">
        <v>1074802880</v>
      </c>
      <c r="N85" s="73"/>
      <c r="O85" s="73"/>
      <c r="P85" s="73">
        <f>14252908+50000000+6471727+50000000+30000000</f>
        <v>150724635</v>
      </c>
      <c r="Q85" s="73">
        <f>274748465+126944874+85352370+14252908.44</f>
        <v>501298617.44</v>
      </c>
      <c r="R85" s="74"/>
      <c r="S85" s="73">
        <f t="shared" si="58"/>
        <v>724228897.55999994</v>
      </c>
      <c r="T85" s="73">
        <v>478791741.88</v>
      </c>
      <c r="U85" s="73">
        <f t="shared" si="9"/>
        <v>245437155.67999995</v>
      </c>
      <c r="V85" s="75">
        <f t="shared" si="11"/>
        <v>0.66110554755975293</v>
      </c>
      <c r="W85" s="76">
        <v>277788214.86000001</v>
      </c>
      <c r="X85" s="75">
        <f t="shared" si="51"/>
        <v>0.38356411321875789</v>
      </c>
      <c r="Y85" s="76">
        <v>277788214.86000001</v>
      </c>
      <c r="Z85" s="75">
        <f t="shared" si="52"/>
        <v>0.38356411321875789</v>
      </c>
    </row>
    <row r="86" spans="1:26" ht="28.5" customHeight="1">
      <c r="A86" s="26" t="e">
        <f>+CONCATENATE(#REF!,"=",J86)</f>
        <v>#REF!</v>
      </c>
      <c r="B86" s="66" t="str">
        <f t="shared" si="57"/>
        <v>A-02-02-02-008-009</v>
      </c>
      <c r="C86" s="67" t="s">
        <v>31</v>
      </c>
      <c r="D86" s="68" t="s">
        <v>60</v>
      </c>
      <c r="E86" s="68" t="s">
        <v>60</v>
      </c>
      <c r="F86" s="68" t="s">
        <v>60</v>
      </c>
      <c r="G86" s="68" t="s">
        <v>54</v>
      </c>
      <c r="H86" s="68" t="s">
        <v>56</v>
      </c>
      <c r="I86" s="69"/>
      <c r="J86" s="70">
        <v>10</v>
      </c>
      <c r="K86" s="71" t="s">
        <v>37</v>
      </c>
      <c r="L86" s="72" t="s">
        <v>126</v>
      </c>
      <c r="M86" s="73">
        <v>328000000</v>
      </c>
      <c r="N86" s="73"/>
      <c r="O86" s="73"/>
      <c r="P86" s="73">
        <f>60000000</f>
        <v>60000000</v>
      </c>
      <c r="Q86" s="90">
        <f>170000000</f>
        <v>170000000</v>
      </c>
      <c r="R86" s="74"/>
      <c r="S86" s="73">
        <f>+M86-R86+N86-O86+P86-Q86</f>
        <v>218000000</v>
      </c>
      <c r="T86" s="73">
        <v>64723791.409999996</v>
      </c>
      <c r="U86" s="73">
        <f t="shared" si="9"/>
        <v>153276208.59</v>
      </c>
      <c r="V86" s="75">
        <f t="shared" si="11"/>
        <v>0.29689812573394492</v>
      </c>
      <c r="W86" s="76">
        <v>64240391.409999996</v>
      </c>
      <c r="X86" s="75">
        <f t="shared" si="51"/>
        <v>0.29468069454128437</v>
      </c>
      <c r="Y86" s="76">
        <v>63356991.409999996</v>
      </c>
      <c r="Z86" s="75">
        <f t="shared" si="52"/>
        <v>0.29062840096330272</v>
      </c>
    </row>
    <row r="87" spans="1:26" ht="32.15" customHeight="1">
      <c r="A87" s="26" t="e">
        <f>+CONCATENATE(#REF!,"=",J87)</f>
        <v>#REF!</v>
      </c>
      <c r="B87" s="59" t="str">
        <f>CONCATENATE(C87,"-",D87,"-",E87,"-",F87,"-",G87)</f>
        <v>A-02-02-02-009</v>
      </c>
      <c r="C87" s="60" t="s">
        <v>31</v>
      </c>
      <c r="D87" s="61" t="s">
        <v>60</v>
      </c>
      <c r="E87" s="61" t="s">
        <v>60</v>
      </c>
      <c r="F87" s="61" t="s">
        <v>60</v>
      </c>
      <c r="G87" s="61" t="s">
        <v>56</v>
      </c>
      <c r="H87" s="61"/>
      <c r="I87" s="62"/>
      <c r="J87" s="63" t="s">
        <v>36</v>
      </c>
      <c r="K87" s="63" t="s">
        <v>37</v>
      </c>
      <c r="L87" s="59" t="s">
        <v>127</v>
      </c>
      <c r="M87" s="64">
        <f>SUM(M88:M92)</f>
        <v>2083184000</v>
      </c>
      <c r="N87" s="64">
        <f t="shared" ref="N87:Y87" si="59">SUM(N88:N92)</f>
        <v>0</v>
      </c>
      <c r="O87" s="64">
        <f t="shared" si="59"/>
        <v>0</v>
      </c>
      <c r="P87" s="64">
        <f t="shared" si="59"/>
        <v>5239593895.7399998</v>
      </c>
      <c r="Q87" s="64">
        <f t="shared" si="59"/>
        <v>3734634504</v>
      </c>
      <c r="R87" s="64">
        <f t="shared" si="59"/>
        <v>0</v>
      </c>
      <c r="S87" s="64">
        <f t="shared" si="59"/>
        <v>3588143391.7399998</v>
      </c>
      <c r="T87" s="64">
        <f t="shared" si="59"/>
        <v>2101500574.9000001</v>
      </c>
      <c r="U87" s="64">
        <f t="shared" si="59"/>
        <v>1486642816.8400002</v>
      </c>
      <c r="V87" s="65">
        <f t="shared" ref="V87:V150" si="60">+IF(S87&gt;0,T87/S87,0)</f>
        <v>0.58567909513808991</v>
      </c>
      <c r="W87" s="64">
        <f t="shared" si="59"/>
        <v>1388196664.9000001</v>
      </c>
      <c r="X87" s="65">
        <f t="shared" si="51"/>
        <v>0.38688438931834923</v>
      </c>
      <c r="Y87" s="64">
        <f t="shared" si="59"/>
        <v>1388196664.9000001</v>
      </c>
      <c r="Z87" s="65">
        <f t="shared" si="52"/>
        <v>0.38688438931834923</v>
      </c>
    </row>
    <row r="88" spans="1:26" ht="28.5" customHeight="1">
      <c r="A88" s="26" t="e">
        <f>+CONCATENATE(#REF!,"=",J88)</f>
        <v>#REF!</v>
      </c>
      <c r="B88" s="66" t="str">
        <f t="shared" si="57"/>
        <v>A-02-02-02-009-002</v>
      </c>
      <c r="C88" s="67" t="s">
        <v>31</v>
      </c>
      <c r="D88" s="68" t="s">
        <v>60</v>
      </c>
      <c r="E88" s="68" t="s">
        <v>60</v>
      </c>
      <c r="F88" s="68" t="s">
        <v>60</v>
      </c>
      <c r="G88" s="68" t="s">
        <v>56</v>
      </c>
      <c r="H88" s="68" t="s">
        <v>42</v>
      </c>
      <c r="I88" s="69"/>
      <c r="J88" s="70">
        <v>10</v>
      </c>
      <c r="K88" s="71" t="s">
        <v>37</v>
      </c>
      <c r="L88" s="72" t="s">
        <v>128</v>
      </c>
      <c r="M88" s="73">
        <v>150000000</v>
      </c>
      <c r="N88" s="73"/>
      <c r="O88" s="73"/>
      <c r="P88" s="90">
        <f>115000000+100000000+16291500+100000000+56962206+90133333+768514580.74+319400761</f>
        <v>1566302380.74</v>
      </c>
      <c r="Q88" s="73">
        <f>150000000+215000000</f>
        <v>365000000</v>
      </c>
      <c r="R88" s="74"/>
      <c r="S88" s="73">
        <f>+M88-R88+N88-O88+P88-Q88</f>
        <v>1351302380.74</v>
      </c>
      <c r="T88" s="73">
        <v>0</v>
      </c>
      <c r="U88" s="73">
        <f t="shared" si="9"/>
        <v>1351302380.74</v>
      </c>
      <c r="V88" s="75">
        <f t="shared" si="60"/>
        <v>0</v>
      </c>
      <c r="W88" s="76">
        <v>0</v>
      </c>
      <c r="X88" s="75">
        <f t="shared" si="51"/>
        <v>0</v>
      </c>
      <c r="Y88" s="76">
        <v>0</v>
      </c>
      <c r="Z88" s="75">
        <f t="shared" si="52"/>
        <v>0</v>
      </c>
    </row>
    <row r="89" spans="1:26" ht="28.5" customHeight="1">
      <c r="A89" s="26" t="e">
        <f>+CONCATENATE(#REF!,"=",J89)</f>
        <v>#REF!</v>
      </c>
      <c r="B89" s="66" t="str">
        <f t="shared" si="57"/>
        <v>A-02-02-02-009-003</v>
      </c>
      <c r="C89" s="67" t="s">
        <v>31</v>
      </c>
      <c r="D89" s="68" t="s">
        <v>60</v>
      </c>
      <c r="E89" s="68" t="s">
        <v>60</v>
      </c>
      <c r="F89" s="68" t="s">
        <v>60</v>
      </c>
      <c r="G89" s="68" t="s">
        <v>56</v>
      </c>
      <c r="H89" s="68" t="s">
        <v>44</v>
      </c>
      <c r="I89" s="69"/>
      <c r="J89" s="70">
        <v>10</v>
      </c>
      <c r="K89" s="71" t="s">
        <v>37</v>
      </c>
      <c r="L89" s="72" t="s">
        <v>129</v>
      </c>
      <c r="M89" s="73">
        <v>285000000</v>
      </c>
      <c r="N89" s="73"/>
      <c r="O89" s="73"/>
      <c r="P89" s="73">
        <f>5526141</f>
        <v>5526141</v>
      </c>
      <c r="Q89" s="73"/>
      <c r="R89" s="74"/>
      <c r="S89" s="73">
        <f>+M89-R89+N89-O89+P89-Q89</f>
        <v>290526141</v>
      </c>
      <c r="T89" s="73">
        <v>265662087</v>
      </c>
      <c r="U89" s="73">
        <f t="shared" si="9"/>
        <v>24864054</v>
      </c>
      <c r="V89" s="75">
        <f t="shared" si="60"/>
        <v>0.91441715394553769</v>
      </c>
      <c r="W89" s="76">
        <v>160565439</v>
      </c>
      <c r="X89" s="75">
        <f t="shared" si="51"/>
        <v>0.55267122761252663</v>
      </c>
      <c r="Y89" s="76">
        <v>160565439</v>
      </c>
      <c r="Z89" s="75">
        <f t="shared" si="52"/>
        <v>0.55267122761252663</v>
      </c>
    </row>
    <row r="90" spans="1:26" ht="28.5" customHeight="1">
      <c r="A90" s="26" t="e">
        <f>+CONCATENATE(#REF!,"=",J90)</f>
        <v>#REF!</v>
      </c>
      <c r="B90" s="66" t="str">
        <f t="shared" si="57"/>
        <v>A-02-02-02-009-004</v>
      </c>
      <c r="C90" s="67" t="s">
        <v>31</v>
      </c>
      <c r="D90" s="68" t="s">
        <v>60</v>
      </c>
      <c r="E90" s="68" t="s">
        <v>60</v>
      </c>
      <c r="F90" s="68" t="s">
        <v>60</v>
      </c>
      <c r="G90" s="68" t="s">
        <v>56</v>
      </c>
      <c r="H90" s="68" t="s">
        <v>46</v>
      </c>
      <c r="I90" s="69"/>
      <c r="J90" s="70">
        <v>10</v>
      </c>
      <c r="K90" s="71" t="s">
        <v>37</v>
      </c>
      <c r="L90" s="72" t="s">
        <v>130</v>
      </c>
      <c r="M90" s="73">
        <v>105720000</v>
      </c>
      <c r="N90" s="73"/>
      <c r="O90" s="73"/>
      <c r="P90" s="90">
        <f>5000000</f>
        <v>5000000</v>
      </c>
      <c r="Q90" s="73"/>
      <c r="R90" s="74"/>
      <c r="S90" s="73">
        <f>+M90-R90+N90-O90+P90-Q90</f>
        <v>110720000</v>
      </c>
      <c r="T90" s="73">
        <v>84669778.109999999</v>
      </c>
      <c r="U90" s="73">
        <f t="shared" si="9"/>
        <v>26050221.890000001</v>
      </c>
      <c r="V90" s="75">
        <f t="shared" si="60"/>
        <v>0.76471981674494216</v>
      </c>
      <c r="W90" s="76">
        <v>84669778.109999999</v>
      </c>
      <c r="X90" s="75">
        <f t="shared" si="51"/>
        <v>0.76471981674494216</v>
      </c>
      <c r="Y90" s="76">
        <v>84669778.109999999</v>
      </c>
      <c r="Z90" s="75">
        <f t="shared" si="52"/>
        <v>0.76471981674494216</v>
      </c>
    </row>
    <row r="91" spans="1:26" ht="28.5" customHeight="1">
      <c r="A91" s="26" t="e">
        <f>+CONCATENATE(#REF!,"=",J91)</f>
        <v>#REF!</v>
      </c>
      <c r="B91" s="66" t="str">
        <f t="shared" si="57"/>
        <v>A-02-02-02-009-006</v>
      </c>
      <c r="C91" s="67" t="s">
        <v>31</v>
      </c>
      <c r="D91" s="68" t="s">
        <v>60</v>
      </c>
      <c r="E91" s="68" t="s">
        <v>60</v>
      </c>
      <c r="F91" s="68" t="s">
        <v>60</v>
      </c>
      <c r="G91" s="68" t="s">
        <v>56</v>
      </c>
      <c r="H91" s="68" t="s">
        <v>50</v>
      </c>
      <c r="I91" s="69"/>
      <c r="J91" s="70">
        <v>10</v>
      </c>
      <c r="K91" s="71" t="s">
        <v>37</v>
      </c>
      <c r="L91" s="72" t="s">
        <v>131</v>
      </c>
      <c r="M91" s="73">
        <v>1481000000</v>
      </c>
      <c r="N91" s="73"/>
      <c r="O91" s="73"/>
      <c r="P91" s="73">
        <f>215000000+150717277</f>
        <v>365717277</v>
      </c>
      <c r="Q91" s="90">
        <v>53578794</v>
      </c>
      <c r="R91" s="74"/>
      <c r="S91" s="73">
        <f>+M91-R91+N91-O91+P91-Q91</f>
        <v>1793138483</v>
      </c>
      <c r="T91" s="73">
        <v>1710636710.79</v>
      </c>
      <c r="U91" s="73">
        <f t="shared" si="9"/>
        <v>82501772.210000038</v>
      </c>
      <c r="V91" s="75">
        <f t="shared" si="60"/>
        <v>0.95399029523254064</v>
      </c>
      <c r="W91" s="76">
        <v>1114996447.79</v>
      </c>
      <c r="X91" s="75">
        <f t="shared" si="51"/>
        <v>0.62181279268769107</v>
      </c>
      <c r="Y91" s="76">
        <v>1114996447.79</v>
      </c>
      <c r="Z91" s="75">
        <f t="shared" si="52"/>
        <v>0.62181279268769107</v>
      </c>
    </row>
    <row r="92" spans="1:26" ht="28.5" customHeight="1">
      <c r="A92" s="26" t="e">
        <f>+CONCATENATE(#REF!,"=",J92)</f>
        <v>#REF!</v>
      </c>
      <c r="B92" s="78" t="str">
        <f t="shared" si="57"/>
        <v>A-02-02-02-009-007</v>
      </c>
      <c r="C92" s="79" t="s">
        <v>31</v>
      </c>
      <c r="D92" s="80" t="s">
        <v>60</v>
      </c>
      <c r="E92" s="80" t="s">
        <v>60</v>
      </c>
      <c r="F92" s="80" t="s">
        <v>60</v>
      </c>
      <c r="G92" s="80" t="s">
        <v>56</v>
      </c>
      <c r="H92" s="80" t="s">
        <v>52</v>
      </c>
      <c r="I92" s="81"/>
      <c r="J92" s="82">
        <v>10</v>
      </c>
      <c r="K92" s="83" t="s">
        <v>37</v>
      </c>
      <c r="L92" s="84" t="s">
        <v>132</v>
      </c>
      <c r="M92" s="85">
        <v>61464000</v>
      </c>
      <c r="N92" s="85"/>
      <c r="O92" s="85"/>
      <c r="P92" s="85">
        <f>3170048097+50000000+77000000</f>
        <v>3297048097</v>
      </c>
      <c r="Q92" s="85">
        <f>10000000+2617440+133407037+1062000000+35000000+13000000+357419390+19763547+83205000+300000000+77000000+95000000+1058635683+69007613</f>
        <v>3316055710</v>
      </c>
      <c r="R92" s="86"/>
      <c r="S92" s="85">
        <f>+M92-R92+N92-O92+P92-Q92</f>
        <v>42456387</v>
      </c>
      <c r="T92" s="85">
        <v>40531999</v>
      </c>
      <c r="U92" s="85">
        <f>+S92-T92</f>
        <v>1924388</v>
      </c>
      <c r="V92" s="87">
        <f t="shared" si="60"/>
        <v>0.95467376910804969</v>
      </c>
      <c r="W92" s="88">
        <v>27965000</v>
      </c>
      <c r="X92" s="87">
        <f t="shared" si="51"/>
        <v>0.65867592548560483</v>
      </c>
      <c r="Y92" s="88">
        <v>27965000</v>
      </c>
      <c r="Z92" s="87">
        <f t="shared" si="52"/>
        <v>0.65867592548560483</v>
      </c>
    </row>
    <row r="93" spans="1:26" s="101" customFormat="1" ht="28.5" customHeight="1">
      <c r="A93" s="26" t="e">
        <f>+CONCATENATE(#REF!,"=",J93)</f>
        <v>#REF!</v>
      </c>
      <c r="B93" s="91" t="str">
        <f>CONCATENATE(C93,"-",D93,"-",E93,"-",F93,"-",G93)</f>
        <v>A-02-02-02-010</v>
      </c>
      <c r="C93" s="92" t="s">
        <v>31</v>
      </c>
      <c r="D93" s="93" t="s">
        <v>60</v>
      </c>
      <c r="E93" s="93" t="s">
        <v>60</v>
      </c>
      <c r="F93" s="93" t="s">
        <v>60</v>
      </c>
      <c r="G93" s="93" t="s">
        <v>58</v>
      </c>
      <c r="H93" s="93"/>
      <c r="I93" s="94"/>
      <c r="J93" s="95" t="s">
        <v>36</v>
      </c>
      <c r="K93" s="96" t="s">
        <v>37</v>
      </c>
      <c r="L93" s="97" t="s">
        <v>133</v>
      </c>
      <c r="M93" s="98">
        <v>1000000000</v>
      </c>
      <c r="N93" s="98"/>
      <c r="O93" s="98"/>
      <c r="P93" s="98">
        <f>95000000+170000000+90000000+53000000</f>
        <v>408000000</v>
      </c>
      <c r="Q93" s="98"/>
      <c r="R93" s="99"/>
      <c r="S93" s="98">
        <f t="shared" ref="S93" si="61">+M93+N93-O93+P93-Q93-R93</f>
        <v>1408000000</v>
      </c>
      <c r="T93" s="98">
        <v>1159965825</v>
      </c>
      <c r="U93" s="98">
        <f t="shared" ref="U93" si="62">+S93-T93</f>
        <v>248034175</v>
      </c>
      <c r="V93" s="75">
        <f t="shared" si="60"/>
        <v>0.82383936434659089</v>
      </c>
      <c r="W93" s="100">
        <v>1130640391</v>
      </c>
      <c r="X93" s="75">
        <f t="shared" si="51"/>
        <v>0.80301164133522729</v>
      </c>
      <c r="Y93" s="100">
        <v>1127660125</v>
      </c>
      <c r="Z93" s="75">
        <f t="shared" si="52"/>
        <v>0.80089497514204544</v>
      </c>
    </row>
    <row r="94" spans="1:26" ht="24" customHeight="1">
      <c r="A94" s="26" t="e">
        <f>+CONCATENATE(#REF!,"=",J94)</f>
        <v>#REF!</v>
      </c>
      <c r="B94" s="35" t="str">
        <f>CONCATENATE(C94,"-",D94)</f>
        <v>A-03</v>
      </c>
      <c r="C94" s="36" t="s">
        <v>31</v>
      </c>
      <c r="D94" s="37" t="s">
        <v>71</v>
      </c>
      <c r="E94" s="37"/>
      <c r="F94" s="37"/>
      <c r="G94" s="37"/>
      <c r="H94" s="37"/>
      <c r="I94" s="38"/>
      <c r="J94" s="39"/>
      <c r="K94" s="39"/>
      <c r="L94" s="35" t="s">
        <v>134</v>
      </c>
      <c r="M94" s="40">
        <f t="shared" ref="M94:U94" si="63">+M98+M103+M95</f>
        <v>8837000000</v>
      </c>
      <c r="N94" s="40">
        <f t="shared" si="63"/>
        <v>0</v>
      </c>
      <c r="O94" s="40">
        <f t="shared" si="63"/>
        <v>0</v>
      </c>
      <c r="P94" s="40">
        <f t="shared" si="63"/>
        <v>55158452</v>
      </c>
      <c r="Q94" s="40">
        <f t="shared" si="63"/>
        <v>55158452</v>
      </c>
      <c r="R94" s="40">
        <f t="shared" si="63"/>
        <v>5880000000</v>
      </c>
      <c r="S94" s="40">
        <f t="shared" si="63"/>
        <v>2957000000</v>
      </c>
      <c r="T94" s="40">
        <f t="shared" si="63"/>
        <v>2553590169</v>
      </c>
      <c r="U94" s="40">
        <f t="shared" si="63"/>
        <v>403409831</v>
      </c>
      <c r="V94" s="41">
        <f t="shared" si="60"/>
        <v>0.86357462597226919</v>
      </c>
      <c r="W94" s="42">
        <f>+W98+W103+W95</f>
        <v>2553590169</v>
      </c>
      <c r="X94" s="41">
        <f t="shared" si="51"/>
        <v>0.86357462597226919</v>
      </c>
      <c r="Y94" s="42">
        <f>+Y98+Y103+Y95</f>
        <v>2553590169</v>
      </c>
      <c r="Z94" s="41">
        <f t="shared" si="52"/>
        <v>0.86357462597226919</v>
      </c>
    </row>
    <row r="95" spans="1:26" ht="19.5" customHeight="1">
      <c r="A95" s="26" t="e">
        <f>+CONCATENATE(#REF!,"=",J95)</f>
        <v>#REF!</v>
      </c>
      <c r="B95" s="43" t="str">
        <f>CONCATENATE(C95,"-",D95,"-",E95)</f>
        <v>A-03-03</v>
      </c>
      <c r="C95" s="44" t="s">
        <v>31</v>
      </c>
      <c r="D95" s="45" t="s">
        <v>71</v>
      </c>
      <c r="E95" s="45" t="s">
        <v>71</v>
      </c>
      <c r="F95" s="45"/>
      <c r="G95" s="45"/>
      <c r="H95" s="45"/>
      <c r="I95" s="46"/>
      <c r="J95" s="47"/>
      <c r="K95" s="47"/>
      <c r="L95" s="43" t="s">
        <v>135</v>
      </c>
      <c r="M95" s="48">
        <f>+M96</f>
        <v>5880000000</v>
      </c>
      <c r="N95" s="48">
        <f t="shared" ref="N95:Y96" si="64">+N96</f>
        <v>0</v>
      </c>
      <c r="O95" s="48">
        <f t="shared" si="64"/>
        <v>0</v>
      </c>
      <c r="P95" s="48">
        <f t="shared" si="64"/>
        <v>0</v>
      </c>
      <c r="Q95" s="48">
        <f t="shared" si="64"/>
        <v>0</v>
      </c>
      <c r="R95" s="48">
        <f t="shared" si="64"/>
        <v>5880000000</v>
      </c>
      <c r="S95" s="48">
        <f t="shared" si="64"/>
        <v>0</v>
      </c>
      <c r="T95" s="48">
        <f t="shared" si="64"/>
        <v>0</v>
      </c>
      <c r="U95" s="48">
        <f t="shared" si="64"/>
        <v>0</v>
      </c>
      <c r="V95" s="49">
        <f t="shared" si="60"/>
        <v>0</v>
      </c>
      <c r="W95" s="50">
        <f t="shared" ref="W95" si="65">+W96</f>
        <v>0</v>
      </c>
      <c r="X95" s="49" t="e">
        <f t="shared" si="51"/>
        <v>#DIV/0!</v>
      </c>
      <c r="Y95" s="50">
        <f t="shared" ref="Y95" si="66">+Y96</f>
        <v>0</v>
      </c>
      <c r="Z95" s="49" t="e">
        <f t="shared" si="52"/>
        <v>#DIV/0!</v>
      </c>
    </row>
    <row r="96" spans="1:26" ht="32.15" customHeight="1">
      <c r="A96" s="26" t="e">
        <f>+CONCATENATE(#REF!,"=",J96)</f>
        <v>#REF!</v>
      </c>
      <c r="B96" s="51" t="str">
        <f>CONCATENATE(C96,"-",D96,"-",E96,"-",F96)</f>
        <v>A-03-03-01</v>
      </c>
      <c r="C96" s="52" t="s">
        <v>31</v>
      </c>
      <c r="D96" s="53" t="s">
        <v>71</v>
      </c>
      <c r="E96" s="53" t="s">
        <v>71</v>
      </c>
      <c r="F96" s="53" t="s">
        <v>33</v>
      </c>
      <c r="G96" s="53"/>
      <c r="H96" s="53"/>
      <c r="I96" s="54"/>
      <c r="J96" s="55"/>
      <c r="K96" s="55"/>
      <c r="L96" s="51" t="s">
        <v>136</v>
      </c>
      <c r="M96" s="56">
        <f>+M97</f>
        <v>5880000000</v>
      </c>
      <c r="N96" s="56">
        <f t="shared" si="64"/>
        <v>0</v>
      </c>
      <c r="O96" s="56">
        <f t="shared" si="64"/>
        <v>0</v>
      </c>
      <c r="P96" s="56">
        <f t="shared" si="64"/>
        <v>0</v>
      </c>
      <c r="Q96" s="56">
        <f t="shared" si="64"/>
        <v>0</v>
      </c>
      <c r="R96" s="56">
        <f t="shared" si="64"/>
        <v>5880000000</v>
      </c>
      <c r="S96" s="56">
        <f t="shared" si="64"/>
        <v>0</v>
      </c>
      <c r="T96" s="56">
        <f t="shared" si="64"/>
        <v>0</v>
      </c>
      <c r="U96" s="56">
        <f t="shared" si="64"/>
        <v>0</v>
      </c>
      <c r="V96" s="57">
        <f t="shared" si="60"/>
        <v>0</v>
      </c>
      <c r="W96" s="58">
        <f t="shared" si="64"/>
        <v>0</v>
      </c>
      <c r="X96" s="57" t="e">
        <f t="shared" si="51"/>
        <v>#DIV/0!</v>
      </c>
      <c r="Y96" s="58">
        <f t="shared" si="64"/>
        <v>0</v>
      </c>
      <c r="Z96" s="57" t="e">
        <f t="shared" si="52"/>
        <v>#DIV/0!</v>
      </c>
    </row>
    <row r="97" spans="1:26" ht="28.5" customHeight="1">
      <c r="A97" s="26" t="e">
        <f>+CONCATENATE(#REF!,"=",J97)</f>
        <v>#REF!</v>
      </c>
      <c r="B97" s="66" t="str">
        <f t="shared" ref="B97" si="67">CONCATENATE(C97,"-",D97,"-",E97,"-",F97,"-",G97)</f>
        <v>A-03-03-01-999</v>
      </c>
      <c r="C97" s="67" t="s">
        <v>31</v>
      </c>
      <c r="D97" s="68" t="s">
        <v>71</v>
      </c>
      <c r="E97" s="68" t="s">
        <v>71</v>
      </c>
      <c r="F97" s="68" t="s">
        <v>33</v>
      </c>
      <c r="G97" s="68" t="s">
        <v>137</v>
      </c>
      <c r="H97" s="68"/>
      <c r="I97" s="69"/>
      <c r="J97" s="70" t="s">
        <v>36</v>
      </c>
      <c r="K97" s="71" t="s">
        <v>37</v>
      </c>
      <c r="L97" s="72" t="s">
        <v>138</v>
      </c>
      <c r="M97" s="73">
        <v>5880000000</v>
      </c>
      <c r="N97" s="73"/>
      <c r="O97" s="73"/>
      <c r="P97" s="73"/>
      <c r="Q97" s="73"/>
      <c r="R97" s="73">
        <v>5880000000</v>
      </c>
      <c r="S97" s="73">
        <f>+M97+N97-O97+P97-Q97-R97</f>
        <v>0</v>
      </c>
      <c r="T97" s="74">
        <v>0</v>
      </c>
      <c r="U97" s="73">
        <f t="shared" ref="U97" si="68">+S97-T97</f>
        <v>0</v>
      </c>
      <c r="V97" s="75">
        <f t="shared" si="60"/>
        <v>0</v>
      </c>
      <c r="W97" s="76">
        <v>0</v>
      </c>
      <c r="X97" s="75" t="e">
        <f t="shared" si="51"/>
        <v>#DIV/0!</v>
      </c>
      <c r="Y97" s="76">
        <v>0</v>
      </c>
      <c r="Z97" s="75" t="e">
        <f t="shared" si="52"/>
        <v>#DIV/0!</v>
      </c>
    </row>
    <row r="98" spans="1:26" ht="24" customHeight="1">
      <c r="A98" s="26" t="e">
        <f>+CONCATENATE(#REF!,"=",J98)</f>
        <v>#REF!</v>
      </c>
      <c r="B98" s="43" t="str">
        <f>CONCATENATE(C98,"-",D98,"-",E98)</f>
        <v>A-03-04</v>
      </c>
      <c r="C98" s="44" t="s">
        <v>31</v>
      </c>
      <c r="D98" s="45" t="s">
        <v>71</v>
      </c>
      <c r="E98" s="45" t="s">
        <v>139</v>
      </c>
      <c r="F98" s="45"/>
      <c r="G98" s="45"/>
      <c r="H98" s="45"/>
      <c r="I98" s="46"/>
      <c r="J98" s="47"/>
      <c r="K98" s="47"/>
      <c r="L98" s="43" t="s">
        <v>140</v>
      </c>
      <c r="M98" s="48">
        <f>+M99</f>
        <v>598000000</v>
      </c>
      <c r="N98" s="48">
        <f t="shared" ref="N98:Y99" si="69">+N99</f>
        <v>0</v>
      </c>
      <c r="O98" s="48">
        <f t="shared" si="69"/>
        <v>0</v>
      </c>
      <c r="P98" s="48">
        <f t="shared" si="69"/>
        <v>0</v>
      </c>
      <c r="Q98" s="48">
        <f t="shared" si="69"/>
        <v>0</v>
      </c>
      <c r="R98" s="48">
        <f t="shared" si="69"/>
        <v>0</v>
      </c>
      <c r="S98" s="48">
        <f t="shared" si="69"/>
        <v>598000000</v>
      </c>
      <c r="T98" s="48">
        <f t="shared" si="69"/>
        <v>313817547</v>
      </c>
      <c r="U98" s="48">
        <f t="shared" si="69"/>
        <v>284182453</v>
      </c>
      <c r="V98" s="49">
        <f t="shared" si="60"/>
        <v>0.5247785066889632</v>
      </c>
      <c r="W98" s="50">
        <f t="shared" si="69"/>
        <v>313817547</v>
      </c>
      <c r="X98" s="49">
        <f t="shared" si="51"/>
        <v>0.5247785066889632</v>
      </c>
      <c r="Y98" s="50">
        <f t="shared" si="69"/>
        <v>313817547</v>
      </c>
      <c r="Z98" s="49">
        <f t="shared" si="52"/>
        <v>0.5247785066889632</v>
      </c>
    </row>
    <row r="99" spans="1:26" ht="32.15" customHeight="1">
      <c r="A99" s="26" t="e">
        <f>+CONCATENATE(#REF!,"=",J99)</f>
        <v>#REF!</v>
      </c>
      <c r="B99" s="51" t="str">
        <f>CONCATENATE(C99,"-",D99,"-",E99,"-",F99)</f>
        <v>A-03-04-02</v>
      </c>
      <c r="C99" s="52" t="s">
        <v>31</v>
      </c>
      <c r="D99" s="53" t="s">
        <v>71</v>
      </c>
      <c r="E99" s="53" t="s">
        <v>139</v>
      </c>
      <c r="F99" s="53" t="s">
        <v>60</v>
      </c>
      <c r="G99" s="53"/>
      <c r="H99" s="53"/>
      <c r="I99" s="54"/>
      <c r="J99" s="55" t="s">
        <v>36</v>
      </c>
      <c r="K99" s="55" t="s">
        <v>37</v>
      </c>
      <c r="L99" s="51" t="s">
        <v>141</v>
      </c>
      <c r="M99" s="56">
        <f>+M100</f>
        <v>598000000</v>
      </c>
      <c r="N99" s="56">
        <f t="shared" si="69"/>
        <v>0</v>
      </c>
      <c r="O99" s="56">
        <f t="shared" si="69"/>
        <v>0</v>
      </c>
      <c r="P99" s="56">
        <f t="shared" si="69"/>
        <v>0</v>
      </c>
      <c r="Q99" s="56">
        <f t="shared" si="69"/>
        <v>0</v>
      </c>
      <c r="R99" s="56">
        <f t="shared" si="69"/>
        <v>0</v>
      </c>
      <c r="S99" s="56">
        <f t="shared" si="69"/>
        <v>598000000</v>
      </c>
      <c r="T99" s="56">
        <f t="shared" si="69"/>
        <v>313817547</v>
      </c>
      <c r="U99" s="56">
        <f t="shared" si="69"/>
        <v>284182453</v>
      </c>
      <c r="V99" s="57">
        <f t="shared" si="60"/>
        <v>0.5247785066889632</v>
      </c>
      <c r="W99" s="58">
        <f t="shared" si="69"/>
        <v>313817547</v>
      </c>
      <c r="X99" s="57">
        <f t="shared" si="51"/>
        <v>0.5247785066889632</v>
      </c>
      <c r="Y99" s="58">
        <f t="shared" si="69"/>
        <v>313817547</v>
      </c>
      <c r="Z99" s="57">
        <f t="shared" si="52"/>
        <v>0.5247785066889632</v>
      </c>
    </row>
    <row r="100" spans="1:26" ht="32.15" customHeight="1">
      <c r="A100" s="26" t="e">
        <f>+CONCATENATE(#REF!,"=",J100)</f>
        <v>#REF!</v>
      </c>
      <c r="B100" s="59" t="str">
        <f>CONCATENATE(C100,"-",D100,"-",E100,"-",F100,"-",G100)</f>
        <v>A-03-04-02-012</v>
      </c>
      <c r="C100" s="60" t="s">
        <v>31</v>
      </c>
      <c r="D100" s="61" t="s">
        <v>71</v>
      </c>
      <c r="E100" s="61" t="s">
        <v>139</v>
      </c>
      <c r="F100" s="61" t="s">
        <v>60</v>
      </c>
      <c r="G100" s="61" t="s">
        <v>142</v>
      </c>
      <c r="H100" s="61"/>
      <c r="I100" s="62"/>
      <c r="J100" s="63" t="s">
        <v>36</v>
      </c>
      <c r="K100" s="63" t="s">
        <v>37</v>
      </c>
      <c r="L100" s="59" t="s">
        <v>143</v>
      </c>
      <c r="M100" s="64">
        <f t="shared" ref="M100:U100" si="70">SUM(M101:M102)</f>
        <v>598000000</v>
      </c>
      <c r="N100" s="64">
        <f t="shared" si="70"/>
        <v>0</v>
      </c>
      <c r="O100" s="64">
        <f t="shared" si="70"/>
        <v>0</v>
      </c>
      <c r="P100" s="64">
        <f t="shared" si="70"/>
        <v>0</v>
      </c>
      <c r="Q100" s="64">
        <f t="shared" si="70"/>
        <v>0</v>
      </c>
      <c r="R100" s="64">
        <f t="shared" si="70"/>
        <v>0</v>
      </c>
      <c r="S100" s="64">
        <f t="shared" si="70"/>
        <v>598000000</v>
      </c>
      <c r="T100" s="64">
        <f t="shared" si="70"/>
        <v>313817547</v>
      </c>
      <c r="U100" s="64">
        <f t="shared" si="70"/>
        <v>284182453</v>
      </c>
      <c r="V100" s="65">
        <f t="shared" si="60"/>
        <v>0.5247785066889632</v>
      </c>
      <c r="W100" s="64">
        <f>SUM(W101:W102)</f>
        <v>313817547</v>
      </c>
      <c r="X100" s="65">
        <f t="shared" si="51"/>
        <v>0.5247785066889632</v>
      </c>
      <c r="Y100" s="64">
        <f>SUM(Y101:Y102)</f>
        <v>313817547</v>
      </c>
      <c r="Z100" s="65">
        <f t="shared" si="52"/>
        <v>0.5247785066889632</v>
      </c>
    </row>
    <row r="101" spans="1:26" ht="28.5" customHeight="1">
      <c r="A101" s="26" t="e">
        <f>+CONCATENATE(#REF!,"=",J101)</f>
        <v>#REF!</v>
      </c>
      <c r="B101" s="66" t="str">
        <f t="shared" ref="B101:B102" si="71">CONCATENATE(C101,"-",D101,"-",E101,"-",F101,"-",G101,"-",H101)</f>
        <v>A-03-04-02-012-001</v>
      </c>
      <c r="C101" s="67" t="s">
        <v>31</v>
      </c>
      <c r="D101" s="68" t="s">
        <v>71</v>
      </c>
      <c r="E101" s="68" t="s">
        <v>139</v>
      </c>
      <c r="F101" s="68" t="s">
        <v>60</v>
      </c>
      <c r="G101" s="68" t="s">
        <v>142</v>
      </c>
      <c r="H101" s="68" t="s">
        <v>39</v>
      </c>
      <c r="I101" s="69"/>
      <c r="J101" s="70" t="s">
        <v>36</v>
      </c>
      <c r="K101" s="71" t="s">
        <v>37</v>
      </c>
      <c r="L101" s="72" t="s">
        <v>144</v>
      </c>
      <c r="M101" s="73">
        <v>398000000</v>
      </c>
      <c r="N101" s="73"/>
      <c r="O101" s="73"/>
      <c r="P101" s="73"/>
      <c r="Q101" s="73"/>
      <c r="R101" s="74"/>
      <c r="S101" s="73">
        <f>+M101-R101+N101-O101+P101-Q101</f>
        <v>398000000</v>
      </c>
      <c r="T101" s="73">
        <v>288946648</v>
      </c>
      <c r="U101" s="73">
        <f t="shared" si="9"/>
        <v>109053352</v>
      </c>
      <c r="V101" s="75">
        <f t="shared" si="60"/>
        <v>0.7259966030150754</v>
      </c>
      <c r="W101" s="76">
        <v>288946648</v>
      </c>
      <c r="X101" s="75">
        <f t="shared" si="51"/>
        <v>0.7259966030150754</v>
      </c>
      <c r="Y101" s="76">
        <v>288946648</v>
      </c>
      <c r="Z101" s="75">
        <f t="shared" si="52"/>
        <v>0.7259966030150754</v>
      </c>
    </row>
    <row r="102" spans="1:26" ht="28.5" customHeight="1">
      <c r="A102" s="26" t="e">
        <f>+CONCATENATE(#REF!,"=",J102)</f>
        <v>#REF!</v>
      </c>
      <c r="B102" s="66" t="str">
        <f t="shared" si="71"/>
        <v>A-03-04-02-012-002</v>
      </c>
      <c r="C102" s="67" t="s">
        <v>31</v>
      </c>
      <c r="D102" s="68" t="s">
        <v>71</v>
      </c>
      <c r="E102" s="68" t="s">
        <v>139</v>
      </c>
      <c r="F102" s="68" t="s">
        <v>60</v>
      </c>
      <c r="G102" s="68" t="s">
        <v>142</v>
      </c>
      <c r="H102" s="68" t="s">
        <v>42</v>
      </c>
      <c r="I102" s="69"/>
      <c r="J102" s="70" t="s">
        <v>36</v>
      </c>
      <c r="K102" s="71" t="s">
        <v>37</v>
      </c>
      <c r="L102" s="72" t="s">
        <v>145</v>
      </c>
      <c r="M102" s="73">
        <v>200000000</v>
      </c>
      <c r="N102" s="73"/>
      <c r="O102" s="73"/>
      <c r="P102" s="73"/>
      <c r="Q102" s="73"/>
      <c r="R102" s="74"/>
      <c r="S102" s="73">
        <f>+M102-R102+N102-O102+P102-Q102</f>
        <v>200000000</v>
      </c>
      <c r="T102" s="73">
        <v>24870899</v>
      </c>
      <c r="U102" s="73">
        <f t="shared" si="9"/>
        <v>175129101</v>
      </c>
      <c r="V102" s="75">
        <f t="shared" si="60"/>
        <v>0.124354495</v>
      </c>
      <c r="W102" s="76">
        <v>24870899</v>
      </c>
      <c r="X102" s="75">
        <f t="shared" si="51"/>
        <v>0.124354495</v>
      </c>
      <c r="Y102" s="76">
        <v>24870899</v>
      </c>
      <c r="Z102" s="75">
        <f t="shared" si="52"/>
        <v>0.124354495</v>
      </c>
    </row>
    <row r="103" spans="1:26" ht="24" customHeight="1">
      <c r="A103" s="26" t="e">
        <f>+CONCATENATE(#REF!,"=",J103)</f>
        <v>#REF!</v>
      </c>
      <c r="B103" s="43" t="str">
        <f>CONCATENATE(C103,"-",D103,"-",E103)</f>
        <v>A-03-10</v>
      </c>
      <c r="C103" s="44" t="s">
        <v>31</v>
      </c>
      <c r="D103" s="45" t="s">
        <v>71</v>
      </c>
      <c r="E103" s="45" t="s">
        <v>36</v>
      </c>
      <c r="F103" s="45"/>
      <c r="G103" s="45"/>
      <c r="H103" s="45"/>
      <c r="I103" s="46"/>
      <c r="J103" s="47"/>
      <c r="K103" s="47"/>
      <c r="L103" s="43" t="s">
        <v>146</v>
      </c>
      <c r="M103" s="48">
        <f>+M104</f>
        <v>2359000000</v>
      </c>
      <c r="N103" s="48">
        <f t="shared" ref="N103:U103" si="72">+N104</f>
        <v>0</v>
      </c>
      <c r="O103" s="48">
        <f t="shared" si="72"/>
        <v>0</v>
      </c>
      <c r="P103" s="48">
        <f t="shared" si="72"/>
        <v>55158452</v>
      </c>
      <c r="Q103" s="48">
        <f t="shared" si="72"/>
        <v>55158452</v>
      </c>
      <c r="R103" s="48">
        <f t="shared" si="72"/>
        <v>0</v>
      </c>
      <c r="S103" s="48">
        <f t="shared" si="72"/>
        <v>2359000000</v>
      </c>
      <c r="T103" s="48">
        <f t="shared" si="72"/>
        <v>2239772622</v>
      </c>
      <c r="U103" s="48">
        <f t="shared" si="72"/>
        <v>119227378</v>
      </c>
      <c r="V103" s="49">
        <f t="shared" si="60"/>
        <v>0.94945850869012294</v>
      </c>
      <c r="W103" s="50">
        <f t="shared" ref="W103:Y103" si="73">+W104</f>
        <v>2239772622</v>
      </c>
      <c r="X103" s="49">
        <f t="shared" si="51"/>
        <v>0.94945850869012294</v>
      </c>
      <c r="Y103" s="50">
        <f t="shared" si="73"/>
        <v>2239772622</v>
      </c>
      <c r="Z103" s="49">
        <f t="shared" si="52"/>
        <v>0.94945850869012294</v>
      </c>
    </row>
    <row r="104" spans="1:26" ht="32.15" customHeight="1">
      <c r="A104" s="26" t="e">
        <f>+CONCATENATE(#REF!,"=",J104)</f>
        <v>#REF!</v>
      </c>
      <c r="B104" s="51" t="str">
        <f>CONCATENATE(C104,"-",D104,"-",E104,"-",F104)</f>
        <v>A-03-10-01</v>
      </c>
      <c r="C104" s="52" t="s">
        <v>31</v>
      </c>
      <c r="D104" s="53" t="s">
        <v>71</v>
      </c>
      <c r="E104" s="53" t="s">
        <v>36</v>
      </c>
      <c r="F104" s="53" t="s">
        <v>33</v>
      </c>
      <c r="G104" s="53"/>
      <c r="H104" s="53"/>
      <c r="I104" s="54"/>
      <c r="J104" s="55">
        <v>10</v>
      </c>
      <c r="K104" s="55" t="s">
        <v>37</v>
      </c>
      <c r="L104" s="51" t="s">
        <v>147</v>
      </c>
      <c r="M104" s="56">
        <f>SUM(M105:M106)</f>
        <v>2359000000</v>
      </c>
      <c r="N104" s="56">
        <f t="shared" ref="N104:U104" si="74">SUM(N105:N106)</f>
        <v>0</v>
      </c>
      <c r="O104" s="56">
        <f t="shared" si="74"/>
        <v>0</v>
      </c>
      <c r="P104" s="56">
        <f t="shared" si="74"/>
        <v>55158452</v>
      </c>
      <c r="Q104" s="56">
        <f t="shared" si="74"/>
        <v>55158452</v>
      </c>
      <c r="R104" s="56">
        <f t="shared" si="74"/>
        <v>0</v>
      </c>
      <c r="S104" s="56">
        <f t="shared" si="74"/>
        <v>2359000000</v>
      </c>
      <c r="T104" s="56">
        <f t="shared" si="74"/>
        <v>2239772622</v>
      </c>
      <c r="U104" s="56">
        <f t="shared" si="74"/>
        <v>119227378</v>
      </c>
      <c r="V104" s="57">
        <f t="shared" si="60"/>
        <v>0.94945850869012294</v>
      </c>
      <c r="W104" s="58">
        <f t="shared" ref="W104" si="75">SUM(W105:W106)</f>
        <v>2239772622</v>
      </c>
      <c r="X104" s="57">
        <f t="shared" si="51"/>
        <v>0.94945850869012294</v>
      </c>
      <c r="Y104" s="58">
        <f t="shared" ref="Y104" si="76">SUM(Y105:Y106)</f>
        <v>2239772622</v>
      </c>
      <c r="Z104" s="57">
        <f t="shared" si="52"/>
        <v>0.94945850869012294</v>
      </c>
    </row>
    <row r="105" spans="1:26" ht="28.5" customHeight="1">
      <c r="A105" s="26" t="e">
        <f>+CONCATENATE(#REF!,"=",J105)</f>
        <v>#REF!</v>
      </c>
      <c r="B105" s="66" t="str">
        <f t="shared" ref="B105:B106" si="77">CONCATENATE(C105,"-",D105,"-",E105,"-",F105,"-",G105)</f>
        <v>A-03-10-01-001</v>
      </c>
      <c r="C105" s="67" t="s">
        <v>31</v>
      </c>
      <c r="D105" s="68" t="s">
        <v>71</v>
      </c>
      <c r="E105" s="68" t="s">
        <v>36</v>
      </c>
      <c r="F105" s="68" t="s">
        <v>33</v>
      </c>
      <c r="G105" s="68" t="s">
        <v>39</v>
      </c>
      <c r="H105" s="68"/>
      <c r="I105" s="69"/>
      <c r="J105" s="70">
        <v>10</v>
      </c>
      <c r="K105" s="71" t="s">
        <v>37</v>
      </c>
      <c r="L105" s="72" t="s">
        <v>148</v>
      </c>
      <c r="M105" s="73">
        <v>2359000000</v>
      </c>
      <c r="N105" s="73"/>
      <c r="O105" s="73"/>
      <c r="P105" s="74"/>
      <c r="Q105" s="73">
        <f>55158452</f>
        <v>55158452</v>
      </c>
      <c r="R105" s="74"/>
      <c r="S105" s="73">
        <f>+M105-R105+N105-O105+P105-Q105</f>
        <v>2303841548</v>
      </c>
      <c r="T105" s="73">
        <v>2184614170</v>
      </c>
      <c r="U105" s="73">
        <f t="shared" ref="U105:U106" si="78">+S105-T105</f>
        <v>119227378</v>
      </c>
      <c r="V105" s="75">
        <f t="shared" si="60"/>
        <v>0.94824844698911559</v>
      </c>
      <c r="W105" s="76">
        <v>2184614170</v>
      </c>
      <c r="X105" s="75">
        <f t="shared" si="51"/>
        <v>0.94824844698911559</v>
      </c>
      <c r="Y105" s="76">
        <v>2184614170</v>
      </c>
      <c r="Z105" s="75">
        <f t="shared" si="52"/>
        <v>0.94824844698911559</v>
      </c>
    </row>
    <row r="106" spans="1:26" ht="28.5" customHeight="1">
      <c r="A106" s="26" t="e">
        <f>+CONCATENATE(#REF!,"=",J106)</f>
        <v>#REF!</v>
      </c>
      <c r="B106" s="66" t="str">
        <f t="shared" si="77"/>
        <v>A-03-10-01-002</v>
      </c>
      <c r="C106" s="67" t="s">
        <v>31</v>
      </c>
      <c r="D106" s="68" t="s">
        <v>71</v>
      </c>
      <c r="E106" s="68" t="s">
        <v>36</v>
      </c>
      <c r="F106" s="68" t="s">
        <v>33</v>
      </c>
      <c r="G106" s="89" t="s">
        <v>42</v>
      </c>
      <c r="H106" s="68"/>
      <c r="I106" s="69"/>
      <c r="J106" s="70">
        <v>10</v>
      </c>
      <c r="K106" s="71" t="s">
        <v>37</v>
      </c>
      <c r="L106" s="72" t="s">
        <v>149</v>
      </c>
      <c r="M106" s="73">
        <v>0</v>
      </c>
      <c r="N106" s="73"/>
      <c r="O106" s="73"/>
      <c r="P106" s="73">
        <f>55158452</f>
        <v>55158452</v>
      </c>
      <c r="Q106" s="73"/>
      <c r="R106" s="74"/>
      <c r="S106" s="73">
        <f>+M106-R106+N106-O106+P106-Q106</f>
        <v>55158452</v>
      </c>
      <c r="T106" s="73">
        <v>55158452</v>
      </c>
      <c r="U106" s="73">
        <f t="shared" si="78"/>
        <v>0</v>
      </c>
      <c r="V106" s="75">
        <f t="shared" si="60"/>
        <v>1</v>
      </c>
      <c r="W106" s="76">
        <v>55158452</v>
      </c>
      <c r="X106" s="75">
        <f t="shared" si="51"/>
        <v>1</v>
      </c>
      <c r="Y106" s="76">
        <v>55158452</v>
      </c>
      <c r="Z106" s="75">
        <f t="shared" si="52"/>
        <v>1</v>
      </c>
    </row>
    <row r="107" spans="1:26" ht="24" customHeight="1">
      <c r="A107" s="26" t="e">
        <f>+CONCATENATE(#REF!,"=",J107)</f>
        <v>#REF!</v>
      </c>
      <c r="B107" s="35" t="str">
        <f>CONCATENATE(C107,"-",D107)</f>
        <v>A-08</v>
      </c>
      <c r="C107" s="36" t="s">
        <v>31</v>
      </c>
      <c r="D107" s="37" t="s">
        <v>150</v>
      </c>
      <c r="E107" s="37"/>
      <c r="F107" s="37"/>
      <c r="G107" s="37"/>
      <c r="H107" s="37"/>
      <c r="I107" s="38"/>
      <c r="J107" s="39"/>
      <c r="K107" s="39"/>
      <c r="L107" s="35" t="s">
        <v>151</v>
      </c>
      <c r="M107" s="40">
        <f>+M108+M113+M115</f>
        <v>30002470214</v>
      </c>
      <c r="N107" s="40">
        <f t="shared" ref="N107:U107" si="79">+N108+N113+N115</f>
        <v>0</v>
      </c>
      <c r="O107" s="40">
        <f t="shared" si="79"/>
        <v>0</v>
      </c>
      <c r="P107" s="40">
        <f t="shared" si="79"/>
        <v>18406400</v>
      </c>
      <c r="Q107" s="40">
        <f t="shared" si="79"/>
        <v>18406400</v>
      </c>
      <c r="R107" s="40">
        <f t="shared" si="79"/>
        <v>0</v>
      </c>
      <c r="S107" s="40">
        <f t="shared" si="79"/>
        <v>30002470214</v>
      </c>
      <c r="T107" s="40">
        <f t="shared" si="79"/>
        <v>12156033876.879999</v>
      </c>
      <c r="U107" s="40">
        <f t="shared" si="79"/>
        <v>17846436337.119999</v>
      </c>
      <c r="V107" s="41">
        <f t="shared" si="60"/>
        <v>0.40516776752627692</v>
      </c>
      <c r="W107" s="40">
        <f t="shared" ref="W107" si="80">+W108+W113+W115</f>
        <v>12156033876.879999</v>
      </c>
      <c r="X107" s="41">
        <f t="shared" si="51"/>
        <v>0.40516776752627692</v>
      </c>
      <c r="Y107" s="40">
        <f t="shared" ref="Y107" si="81">+Y108+Y113+Y115</f>
        <v>12156033876.879999</v>
      </c>
      <c r="Z107" s="41">
        <f t="shared" si="52"/>
        <v>0.40516776752627692</v>
      </c>
    </row>
    <row r="108" spans="1:26" ht="24" customHeight="1">
      <c r="A108" s="26" t="e">
        <f>+CONCATENATE(#REF!,"=",J108)</f>
        <v>#REF!</v>
      </c>
      <c r="B108" s="43" t="str">
        <f>CONCATENATE(C108,"-",D108,"-",E108)</f>
        <v>A-08-01</v>
      </c>
      <c r="C108" s="44" t="s">
        <v>31</v>
      </c>
      <c r="D108" s="45" t="s">
        <v>150</v>
      </c>
      <c r="E108" s="45" t="s">
        <v>33</v>
      </c>
      <c r="F108" s="45"/>
      <c r="G108" s="45"/>
      <c r="H108" s="45"/>
      <c r="I108" s="46"/>
      <c r="J108" s="47"/>
      <c r="K108" s="47"/>
      <c r="L108" s="43" t="s">
        <v>152</v>
      </c>
      <c r="M108" s="48">
        <f>+M109</f>
        <v>145622400</v>
      </c>
      <c r="N108" s="48">
        <f t="shared" ref="N108:Y108" si="82">+N109</f>
        <v>0</v>
      </c>
      <c r="O108" s="48">
        <f t="shared" si="82"/>
        <v>0</v>
      </c>
      <c r="P108" s="48">
        <f t="shared" si="82"/>
        <v>2000000</v>
      </c>
      <c r="Q108" s="48">
        <f t="shared" si="82"/>
        <v>18406400</v>
      </c>
      <c r="R108" s="48">
        <f t="shared" si="82"/>
        <v>0</v>
      </c>
      <c r="S108" s="48">
        <f t="shared" si="82"/>
        <v>129216000</v>
      </c>
      <c r="T108" s="48">
        <f t="shared" si="82"/>
        <v>126050074.88</v>
      </c>
      <c r="U108" s="48">
        <f t="shared" si="82"/>
        <v>3165925.1199999973</v>
      </c>
      <c r="V108" s="49">
        <f t="shared" si="60"/>
        <v>0.97549896978702322</v>
      </c>
      <c r="W108" s="50">
        <f t="shared" si="82"/>
        <v>126050074.88</v>
      </c>
      <c r="X108" s="49">
        <f t="shared" si="51"/>
        <v>0.97549896978702322</v>
      </c>
      <c r="Y108" s="50">
        <f t="shared" si="82"/>
        <v>126050074.88</v>
      </c>
      <c r="Z108" s="49">
        <f t="shared" si="52"/>
        <v>0.97549896978702322</v>
      </c>
    </row>
    <row r="109" spans="1:26" ht="32.15" customHeight="1">
      <c r="A109" s="26" t="e">
        <f>+CONCATENATE(#REF!,"=",J109)</f>
        <v>#REF!</v>
      </c>
      <c r="B109" s="51" t="str">
        <f>CONCATENATE(C109,"-",D109,"-",E109,"-",F109)</f>
        <v>A-08-01-02</v>
      </c>
      <c r="C109" s="52" t="s">
        <v>31</v>
      </c>
      <c r="D109" s="53" t="s">
        <v>150</v>
      </c>
      <c r="E109" s="53" t="s">
        <v>33</v>
      </c>
      <c r="F109" s="53" t="s">
        <v>60</v>
      </c>
      <c r="G109" s="53"/>
      <c r="H109" s="53"/>
      <c r="I109" s="54"/>
      <c r="J109" s="55" t="s">
        <v>36</v>
      </c>
      <c r="K109" s="55" t="s">
        <v>37</v>
      </c>
      <c r="L109" s="51" t="s">
        <v>153</v>
      </c>
      <c r="M109" s="56">
        <f>SUM(M110:M112)</f>
        <v>145622400</v>
      </c>
      <c r="N109" s="56">
        <f t="shared" ref="N109:U109" si="83">SUM(N110:N112)</f>
        <v>0</v>
      </c>
      <c r="O109" s="56">
        <f t="shared" si="83"/>
        <v>0</v>
      </c>
      <c r="P109" s="56">
        <f t="shared" si="83"/>
        <v>2000000</v>
      </c>
      <c r="Q109" s="56">
        <f t="shared" si="83"/>
        <v>18406400</v>
      </c>
      <c r="R109" s="56">
        <f t="shared" si="83"/>
        <v>0</v>
      </c>
      <c r="S109" s="56">
        <f t="shared" si="83"/>
        <v>129216000</v>
      </c>
      <c r="T109" s="56">
        <f t="shared" si="83"/>
        <v>126050074.88</v>
      </c>
      <c r="U109" s="56">
        <f t="shared" si="83"/>
        <v>3165925.1199999973</v>
      </c>
      <c r="V109" s="57">
        <f t="shared" si="60"/>
        <v>0.97549896978702322</v>
      </c>
      <c r="W109" s="58">
        <f t="shared" ref="W109:Y109" si="84">SUM(W110:W112)</f>
        <v>126050074.88</v>
      </c>
      <c r="X109" s="57">
        <f t="shared" si="51"/>
        <v>0.97549896978702322</v>
      </c>
      <c r="Y109" s="58">
        <f t="shared" si="84"/>
        <v>126050074.88</v>
      </c>
      <c r="Z109" s="57">
        <f t="shared" si="52"/>
        <v>0.97549896978702322</v>
      </c>
    </row>
    <row r="110" spans="1:26" ht="28.5" customHeight="1">
      <c r="A110" s="26" t="e">
        <f>+CONCATENATE(#REF!,"=",J110)</f>
        <v>#REF!</v>
      </c>
      <c r="B110" s="66" t="str">
        <f t="shared" ref="B110:B112" si="85">CONCATENATE(C110,"-",D110,"-",E110,"-",F110,"-",G110)</f>
        <v>A-08-01-02-001</v>
      </c>
      <c r="C110" s="67" t="s">
        <v>31</v>
      </c>
      <c r="D110" s="68" t="s">
        <v>150</v>
      </c>
      <c r="E110" s="68" t="s">
        <v>33</v>
      </c>
      <c r="F110" s="68" t="s">
        <v>60</v>
      </c>
      <c r="G110" s="68" t="s">
        <v>39</v>
      </c>
      <c r="H110" s="68"/>
      <c r="I110" s="69"/>
      <c r="J110" s="70" t="s">
        <v>36</v>
      </c>
      <c r="K110" s="71" t="s">
        <v>37</v>
      </c>
      <c r="L110" s="72" t="s">
        <v>154</v>
      </c>
      <c r="M110" s="73">
        <v>69216000</v>
      </c>
      <c r="N110" s="73">
        <v>0</v>
      </c>
      <c r="O110" s="73"/>
      <c r="P110" s="73">
        <v>2000000</v>
      </c>
      <c r="Q110" s="73">
        <v>12000000</v>
      </c>
      <c r="R110" s="74"/>
      <c r="S110" s="73">
        <f>+M110-R110+N110-O110+P110-Q110</f>
        <v>59216000</v>
      </c>
      <c r="T110" s="73">
        <v>58918760</v>
      </c>
      <c r="U110" s="73">
        <f t="shared" si="9"/>
        <v>297240</v>
      </c>
      <c r="V110" s="75">
        <f t="shared" si="60"/>
        <v>0.99498041069981091</v>
      </c>
      <c r="W110" s="76">
        <v>58918760</v>
      </c>
      <c r="X110" s="75">
        <f t="shared" si="51"/>
        <v>0.99498041069981091</v>
      </c>
      <c r="Y110" s="76">
        <v>58918760</v>
      </c>
      <c r="Z110" s="75">
        <f t="shared" si="52"/>
        <v>0.99498041069981091</v>
      </c>
    </row>
    <row r="111" spans="1:26" ht="28.5" customHeight="1">
      <c r="A111" s="26" t="e">
        <f>+CONCATENATE(#REF!,"=",J111)</f>
        <v>#REF!</v>
      </c>
      <c r="B111" s="66" t="str">
        <f t="shared" si="85"/>
        <v>A-08-01-02-004</v>
      </c>
      <c r="C111" s="67" t="s">
        <v>31</v>
      </c>
      <c r="D111" s="68" t="s">
        <v>150</v>
      </c>
      <c r="E111" s="68" t="s">
        <v>33</v>
      </c>
      <c r="F111" s="68" t="s">
        <v>60</v>
      </c>
      <c r="G111" s="68" t="s">
        <v>46</v>
      </c>
      <c r="H111" s="68"/>
      <c r="I111" s="69"/>
      <c r="J111" s="70" t="s">
        <v>36</v>
      </c>
      <c r="K111" s="71" t="s">
        <v>37</v>
      </c>
      <c r="L111" s="72" t="s">
        <v>155</v>
      </c>
      <c r="M111" s="73">
        <v>56000000</v>
      </c>
      <c r="N111" s="73"/>
      <c r="O111" s="73"/>
      <c r="P111" s="73"/>
      <c r="Q111" s="73">
        <v>2000000</v>
      </c>
      <c r="R111" s="74"/>
      <c r="S111" s="73">
        <f>+M111-R111+N111-O111+P111-Q111</f>
        <v>54000000</v>
      </c>
      <c r="T111" s="73">
        <v>53930614.880000003</v>
      </c>
      <c r="U111" s="73">
        <f t="shared" si="9"/>
        <v>69385.119999997318</v>
      </c>
      <c r="V111" s="75">
        <f t="shared" si="60"/>
        <v>0.99871509037037043</v>
      </c>
      <c r="W111" s="76">
        <v>53930614.880000003</v>
      </c>
      <c r="X111" s="75">
        <f t="shared" si="51"/>
        <v>0.99871509037037043</v>
      </c>
      <c r="Y111" s="76">
        <v>53930614.880000003</v>
      </c>
      <c r="Z111" s="75">
        <f t="shared" si="52"/>
        <v>0.99871509037037043</v>
      </c>
    </row>
    <row r="112" spans="1:26" ht="28.5" customHeight="1">
      <c r="A112" s="26" t="e">
        <f>+CONCATENATE(#REF!,"=",J112)</f>
        <v>#REF!</v>
      </c>
      <c r="B112" s="66" t="str">
        <f t="shared" si="85"/>
        <v>A-08-01-02-006</v>
      </c>
      <c r="C112" s="67" t="s">
        <v>31</v>
      </c>
      <c r="D112" s="68" t="s">
        <v>150</v>
      </c>
      <c r="E112" s="68" t="s">
        <v>33</v>
      </c>
      <c r="F112" s="68" t="s">
        <v>60</v>
      </c>
      <c r="G112" s="68" t="s">
        <v>50</v>
      </c>
      <c r="H112" s="68"/>
      <c r="I112" s="69"/>
      <c r="J112" s="70" t="s">
        <v>36</v>
      </c>
      <c r="K112" s="71" t="s">
        <v>37</v>
      </c>
      <c r="L112" s="72" t="s">
        <v>156</v>
      </c>
      <c r="M112" s="73">
        <v>20406400</v>
      </c>
      <c r="N112" s="73">
        <v>0</v>
      </c>
      <c r="O112" s="73"/>
      <c r="P112" s="73"/>
      <c r="Q112" s="73">
        <v>4406400</v>
      </c>
      <c r="R112" s="74"/>
      <c r="S112" s="73">
        <f>+M112-R112+N112-O112+P112-Q112</f>
        <v>16000000</v>
      </c>
      <c r="T112" s="73">
        <v>13200700</v>
      </c>
      <c r="U112" s="73">
        <f t="shared" si="9"/>
        <v>2799300</v>
      </c>
      <c r="V112" s="75">
        <f t="shared" si="60"/>
        <v>0.82504374999999996</v>
      </c>
      <c r="W112" s="76">
        <v>13200700</v>
      </c>
      <c r="X112" s="75">
        <f t="shared" si="51"/>
        <v>0.82504374999999996</v>
      </c>
      <c r="Y112" s="76">
        <v>13200700</v>
      </c>
      <c r="Z112" s="75">
        <f t="shared" si="52"/>
        <v>0.82504374999999996</v>
      </c>
    </row>
    <row r="113" spans="1:26" ht="24" customHeight="1">
      <c r="A113" s="26" t="e">
        <f>+CONCATENATE(#REF!,"=",J113)</f>
        <v>#REF!</v>
      </c>
      <c r="B113" s="43" t="str">
        <f>CONCATENATE(C113,"-",D113,"-",E113)</f>
        <v>A-08-04</v>
      </c>
      <c r="C113" s="44" t="s">
        <v>31</v>
      </c>
      <c r="D113" s="45" t="s">
        <v>150</v>
      </c>
      <c r="E113" s="45" t="s">
        <v>139</v>
      </c>
      <c r="F113" s="45"/>
      <c r="G113" s="45"/>
      <c r="H113" s="45"/>
      <c r="I113" s="46"/>
      <c r="J113" s="47"/>
      <c r="K113" s="47"/>
      <c r="L113" s="43" t="s">
        <v>157</v>
      </c>
      <c r="M113" s="48">
        <f t="shared" ref="M113:U113" si="86">SUM(M114:M114)</f>
        <v>29856847814</v>
      </c>
      <c r="N113" s="48">
        <f t="shared" si="86"/>
        <v>0</v>
      </c>
      <c r="O113" s="48">
        <f t="shared" si="86"/>
        <v>0</v>
      </c>
      <c r="P113" s="48">
        <f t="shared" si="86"/>
        <v>0</v>
      </c>
      <c r="Q113" s="48">
        <f t="shared" si="86"/>
        <v>0</v>
      </c>
      <c r="R113" s="48">
        <f t="shared" si="86"/>
        <v>0</v>
      </c>
      <c r="S113" s="48">
        <f t="shared" si="86"/>
        <v>29856847814</v>
      </c>
      <c r="T113" s="48">
        <f t="shared" si="86"/>
        <v>12020787802</v>
      </c>
      <c r="U113" s="48">
        <f t="shared" si="86"/>
        <v>17836060012</v>
      </c>
      <c r="V113" s="49">
        <f t="shared" si="60"/>
        <v>0.40261409633348511</v>
      </c>
      <c r="W113" s="50">
        <f>SUM(W114:W114)</f>
        <v>12020787802</v>
      </c>
      <c r="X113" s="49">
        <f t="shared" si="51"/>
        <v>0.40261409633348511</v>
      </c>
      <c r="Y113" s="50">
        <f>SUM(Y114:Y114)</f>
        <v>12020787802</v>
      </c>
      <c r="Z113" s="49">
        <f t="shared" si="52"/>
        <v>0.40261409633348511</v>
      </c>
    </row>
    <row r="114" spans="1:26" ht="32.15" customHeight="1">
      <c r="A114" s="26" t="e">
        <f>+CONCATENATE(#REF!,"=",J114)</f>
        <v>#REF!</v>
      </c>
      <c r="B114" s="66" t="str">
        <f>CONCATENATE(C114,"-",D114,"-",E114,"-",F114)</f>
        <v>A-08-04-01</v>
      </c>
      <c r="C114" s="67" t="s">
        <v>31</v>
      </c>
      <c r="D114" s="68" t="s">
        <v>150</v>
      </c>
      <c r="E114" s="68" t="s">
        <v>139</v>
      </c>
      <c r="F114" s="68" t="s">
        <v>33</v>
      </c>
      <c r="G114" s="68"/>
      <c r="H114" s="68"/>
      <c r="I114" s="69"/>
      <c r="J114" s="70" t="s">
        <v>158</v>
      </c>
      <c r="K114" s="71" t="s">
        <v>159</v>
      </c>
      <c r="L114" s="72" t="s">
        <v>160</v>
      </c>
      <c r="M114" s="73">
        <v>29856847814</v>
      </c>
      <c r="N114" s="73"/>
      <c r="O114" s="73"/>
      <c r="P114" s="73"/>
      <c r="Q114" s="73"/>
      <c r="R114" s="74"/>
      <c r="S114" s="73">
        <f>+M114-R114+N114-O114+P114-Q114</f>
        <v>29856847814</v>
      </c>
      <c r="T114" s="74">
        <v>12020787802</v>
      </c>
      <c r="U114" s="73">
        <f t="shared" si="9"/>
        <v>17836060012</v>
      </c>
      <c r="V114" s="75">
        <f t="shared" si="60"/>
        <v>0.40261409633348511</v>
      </c>
      <c r="W114" s="76">
        <v>12020787802</v>
      </c>
      <c r="X114" s="75">
        <f t="shared" si="51"/>
        <v>0.40261409633348511</v>
      </c>
      <c r="Y114" s="76">
        <v>12020787802</v>
      </c>
      <c r="Z114" s="75">
        <f t="shared" si="52"/>
        <v>0.40261409633348511</v>
      </c>
    </row>
    <row r="115" spans="1:26" ht="24" customHeight="1">
      <c r="A115" s="26" t="e">
        <f>+CONCATENATE(#REF!,"=",J115)</f>
        <v>#REF!</v>
      </c>
      <c r="B115" s="43" t="str">
        <f>CONCATENATE(C115,"-",D115,"-",E115)</f>
        <v>A-08-05</v>
      </c>
      <c r="C115" s="44" t="s">
        <v>31</v>
      </c>
      <c r="D115" s="45" t="s">
        <v>150</v>
      </c>
      <c r="E115" s="102" t="s">
        <v>161</v>
      </c>
      <c r="F115" s="45"/>
      <c r="G115" s="45"/>
      <c r="H115" s="45"/>
      <c r="I115" s="46"/>
      <c r="J115" s="47"/>
      <c r="K115" s="47"/>
      <c r="L115" s="43" t="s">
        <v>162</v>
      </c>
      <c r="M115" s="48">
        <f t="shared" ref="M115:N115" si="87">SUM(M116:M117)</f>
        <v>0</v>
      </c>
      <c r="N115" s="48">
        <f t="shared" si="87"/>
        <v>0</v>
      </c>
      <c r="O115" s="48">
        <f>SUM(O116:O117)</f>
        <v>0</v>
      </c>
      <c r="P115" s="48">
        <f>SUM(P116:P117)</f>
        <v>16406400</v>
      </c>
      <c r="Q115" s="48">
        <f t="shared" ref="Q115:U115" si="88">SUM(Q116:Q117)</f>
        <v>0</v>
      </c>
      <c r="R115" s="48">
        <f t="shared" si="88"/>
        <v>0</v>
      </c>
      <c r="S115" s="48">
        <f t="shared" si="88"/>
        <v>16406400</v>
      </c>
      <c r="T115" s="48">
        <f t="shared" si="88"/>
        <v>9196000</v>
      </c>
      <c r="U115" s="48">
        <f t="shared" si="88"/>
        <v>7210400</v>
      </c>
      <c r="V115" s="49">
        <f t="shared" si="60"/>
        <v>0.5605129705480788</v>
      </c>
      <c r="W115" s="48">
        <f t="shared" ref="W115" si="89">SUM(W116:W117)</f>
        <v>9196000</v>
      </c>
      <c r="X115" s="49">
        <f t="shared" si="51"/>
        <v>0.5605129705480788</v>
      </c>
      <c r="Y115" s="48">
        <f t="shared" ref="Y115" si="90">SUM(Y116:Y117)</f>
        <v>9196000</v>
      </c>
      <c r="Z115" s="49">
        <f t="shared" si="52"/>
        <v>0.5605129705480788</v>
      </c>
    </row>
    <row r="116" spans="1:26" ht="28.5" customHeight="1">
      <c r="A116" s="26" t="e">
        <f>+CONCATENATE(#REF!,"=",J116)</f>
        <v>#REF!</v>
      </c>
      <c r="B116" s="66" t="str">
        <f t="shared" ref="B116:B117" si="91">CONCATENATE(C116,"-",D116,"-",E116,"-",F116,"-",G116)</f>
        <v>A-08-05-01-003</v>
      </c>
      <c r="C116" s="67" t="s">
        <v>31</v>
      </c>
      <c r="D116" s="68" t="s">
        <v>150</v>
      </c>
      <c r="E116" s="68" t="s">
        <v>161</v>
      </c>
      <c r="F116" s="68" t="s">
        <v>33</v>
      </c>
      <c r="G116" s="68" t="s">
        <v>44</v>
      </c>
      <c r="H116" s="68"/>
      <c r="I116" s="69"/>
      <c r="J116" s="70" t="s">
        <v>36</v>
      </c>
      <c r="K116" s="71" t="s">
        <v>37</v>
      </c>
      <c r="L116" s="72" t="s">
        <v>163</v>
      </c>
      <c r="M116" s="73"/>
      <c r="N116" s="73"/>
      <c r="O116" s="73"/>
      <c r="P116" s="73">
        <v>3306400</v>
      </c>
      <c r="Q116" s="73"/>
      <c r="R116" s="74"/>
      <c r="S116" s="73">
        <f>+M116-R116+N116-O116+P116-Q116</f>
        <v>3306400</v>
      </c>
      <c r="T116" s="74">
        <v>2847100</v>
      </c>
      <c r="U116" s="73">
        <f t="shared" ref="U116:U117" si="92">+S116-T116</f>
        <v>459300</v>
      </c>
      <c r="V116" s="75">
        <f t="shared" si="60"/>
        <v>0.86108758770868621</v>
      </c>
      <c r="W116" s="76">
        <v>2847100</v>
      </c>
      <c r="X116" s="75">
        <f t="shared" si="51"/>
        <v>0.86108758770868621</v>
      </c>
      <c r="Y116" s="76">
        <v>2847100</v>
      </c>
      <c r="Z116" s="75">
        <f t="shared" si="52"/>
        <v>0.86108758770868621</v>
      </c>
    </row>
    <row r="117" spans="1:26" ht="28.5" customHeight="1">
      <c r="A117" s="26"/>
      <c r="B117" s="66" t="str">
        <f t="shared" si="91"/>
        <v>A-08-05-02-001</v>
      </c>
      <c r="C117" s="67" t="s">
        <v>31</v>
      </c>
      <c r="D117" s="68" t="s">
        <v>150</v>
      </c>
      <c r="E117" s="68" t="s">
        <v>161</v>
      </c>
      <c r="F117" s="68" t="s">
        <v>60</v>
      </c>
      <c r="G117" s="68" t="s">
        <v>39</v>
      </c>
      <c r="H117" s="68"/>
      <c r="I117" s="69"/>
      <c r="J117" s="70" t="s">
        <v>36</v>
      </c>
      <c r="K117" s="71" t="s">
        <v>37</v>
      </c>
      <c r="L117" s="72" t="s">
        <v>164</v>
      </c>
      <c r="M117" s="73"/>
      <c r="N117" s="73"/>
      <c r="O117" s="73"/>
      <c r="P117" s="73">
        <v>13100000</v>
      </c>
      <c r="Q117" s="73"/>
      <c r="R117" s="74"/>
      <c r="S117" s="73">
        <f>+M117-R117+N117-O117+P117-Q117</f>
        <v>13100000</v>
      </c>
      <c r="T117" s="74">
        <v>6348900</v>
      </c>
      <c r="U117" s="73">
        <f t="shared" si="92"/>
        <v>6751100</v>
      </c>
      <c r="V117" s="75">
        <f t="shared" si="60"/>
        <v>0.48464885496183208</v>
      </c>
      <c r="W117" s="76">
        <v>6348900</v>
      </c>
      <c r="X117" s="75">
        <f t="shared" si="51"/>
        <v>0.48464885496183208</v>
      </c>
      <c r="Y117" s="76">
        <v>6348900</v>
      </c>
      <c r="Z117" s="75">
        <f t="shared" si="52"/>
        <v>0.48464885496183208</v>
      </c>
    </row>
    <row r="118" spans="1:26" ht="32.15" customHeight="1">
      <c r="A118" s="26" t="e">
        <f>+CONCATENATE(#REF!,"=",J118)</f>
        <v>#REF!</v>
      </c>
      <c r="B118" s="103" t="str">
        <f>CONCATENATE(C121)</f>
        <v>B</v>
      </c>
      <c r="C118" s="104" t="s">
        <v>165</v>
      </c>
      <c r="D118" s="105"/>
      <c r="E118" s="105"/>
      <c r="F118" s="105"/>
      <c r="G118" s="105"/>
      <c r="H118" s="105"/>
      <c r="I118" s="106"/>
      <c r="J118" s="107"/>
      <c r="K118" s="107"/>
      <c r="L118" s="103" t="s">
        <v>166</v>
      </c>
      <c r="M118" s="108">
        <f>+M119</f>
        <v>3731140006</v>
      </c>
      <c r="N118" s="108">
        <f t="shared" ref="N118:Y120" si="93">+N119</f>
        <v>0</v>
      </c>
      <c r="O118" s="108">
        <f t="shared" si="93"/>
        <v>0</v>
      </c>
      <c r="P118" s="108">
        <f t="shared" si="93"/>
        <v>0</v>
      </c>
      <c r="Q118" s="108">
        <f t="shared" si="93"/>
        <v>0</v>
      </c>
      <c r="R118" s="108">
        <f t="shared" si="93"/>
        <v>0</v>
      </c>
      <c r="S118" s="108">
        <f t="shared" si="93"/>
        <v>3731140006</v>
      </c>
      <c r="T118" s="108">
        <f t="shared" si="93"/>
        <v>3731140005.6300001</v>
      </c>
      <c r="U118" s="108">
        <f t="shared" si="93"/>
        <v>0.36999988555908203</v>
      </c>
      <c r="V118" s="109">
        <f t="shared" si="60"/>
        <v>0.99999999990083466</v>
      </c>
      <c r="W118" s="110">
        <f t="shared" si="93"/>
        <v>3731140005.6300001</v>
      </c>
      <c r="X118" s="109">
        <f t="shared" si="51"/>
        <v>0.99999999990083466</v>
      </c>
      <c r="Y118" s="110">
        <f t="shared" si="93"/>
        <v>3731140005.6300001</v>
      </c>
      <c r="Z118" s="109">
        <f t="shared" si="52"/>
        <v>0.99999999990083466</v>
      </c>
    </row>
    <row r="119" spans="1:26" ht="32.15" customHeight="1">
      <c r="A119" s="26" t="e">
        <f>+CONCATENATE(#REF!,"=",J119)</f>
        <v>#REF!</v>
      </c>
      <c r="B119" s="35" t="str">
        <f>CONCATENATE(C119,"-",D119)</f>
        <v>B-10</v>
      </c>
      <c r="C119" s="36" t="s">
        <v>165</v>
      </c>
      <c r="D119" s="37">
        <v>10</v>
      </c>
      <c r="E119" s="37"/>
      <c r="F119" s="37"/>
      <c r="G119" s="37"/>
      <c r="H119" s="37"/>
      <c r="I119" s="38"/>
      <c r="J119" s="39"/>
      <c r="K119" s="39"/>
      <c r="L119" s="35" t="s">
        <v>167</v>
      </c>
      <c r="M119" s="40">
        <f>+M120</f>
        <v>3731140006</v>
      </c>
      <c r="N119" s="40">
        <f t="shared" si="93"/>
        <v>0</v>
      </c>
      <c r="O119" s="40">
        <f t="shared" si="93"/>
        <v>0</v>
      </c>
      <c r="P119" s="40">
        <f>+P120</f>
        <v>0</v>
      </c>
      <c r="Q119" s="40">
        <f t="shared" si="93"/>
        <v>0</v>
      </c>
      <c r="R119" s="40">
        <f t="shared" si="93"/>
        <v>0</v>
      </c>
      <c r="S119" s="40">
        <f t="shared" si="93"/>
        <v>3731140006</v>
      </c>
      <c r="T119" s="40">
        <f t="shared" si="93"/>
        <v>3731140005.6300001</v>
      </c>
      <c r="U119" s="40">
        <f t="shared" si="93"/>
        <v>0.36999988555908203</v>
      </c>
      <c r="V119" s="41">
        <f t="shared" si="60"/>
        <v>0.99999999990083466</v>
      </c>
      <c r="W119" s="42">
        <f t="shared" si="93"/>
        <v>3731140005.6300001</v>
      </c>
      <c r="X119" s="41">
        <f t="shared" si="51"/>
        <v>0.99999999990083466</v>
      </c>
      <c r="Y119" s="42">
        <f t="shared" si="93"/>
        <v>3731140005.6300001</v>
      </c>
      <c r="Z119" s="41">
        <f t="shared" si="52"/>
        <v>0.99999999990083466</v>
      </c>
    </row>
    <row r="120" spans="1:26" ht="32.15" customHeight="1">
      <c r="A120" s="26" t="e">
        <f>+CONCATENATE(#REF!,"=",J120)</f>
        <v>#REF!</v>
      </c>
      <c r="B120" s="43" t="str">
        <f>CONCATENATE(C120,"-",D120,"-",E120)</f>
        <v>B-10-04</v>
      </c>
      <c r="C120" s="44" t="s">
        <v>165</v>
      </c>
      <c r="D120" s="45">
        <v>10</v>
      </c>
      <c r="E120" s="45" t="s">
        <v>139</v>
      </c>
      <c r="F120" s="45"/>
      <c r="G120" s="45"/>
      <c r="H120" s="45"/>
      <c r="I120" s="46"/>
      <c r="J120" s="47"/>
      <c r="K120" s="47"/>
      <c r="L120" s="43" t="s">
        <v>168</v>
      </c>
      <c r="M120" s="48">
        <f>+M121</f>
        <v>3731140006</v>
      </c>
      <c r="N120" s="48">
        <f t="shared" si="93"/>
        <v>0</v>
      </c>
      <c r="O120" s="48">
        <f t="shared" si="93"/>
        <v>0</v>
      </c>
      <c r="P120" s="48">
        <f t="shared" si="93"/>
        <v>0</v>
      </c>
      <c r="Q120" s="48">
        <f t="shared" si="93"/>
        <v>0</v>
      </c>
      <c r="R120" s="48">
        <f t="shared" si="93"/>
        <v>0</v>
      </c>
      <c r="S120" s="48">
        <f t="shared" si="93"/>
        <v>3731140006</v>
      </c>
      <c r="T120" s="48">
        <f t="shared" si="93"/>
        <v>3731140005.6300001</v>
      </c>
      <c r="U120" s="48">
        <f t="shared" si="93"/>
        <v>0.36999988555908203</v>
      </c>
      <c r="V120" s="49">
        <f t="shared" si="60"/>
        <v>0.99999999990083466</v>
      </c>
      <c r="W120" s="50">
        <f t="shared" si="93"/>
        <v>3731140005.6300001</v>
      </c>
      <c r="X120" s="49">
        <f t="shared" si="51"/>
        <v>0.99999999990083466</v>
      </c>
      <c r="Y120" s="50">
        <f t="shared" si="93"/>
        <v>3731140005.6300001</v>
      </c>
      <c r="Z120" s="49">
        <f t="shared" si="52"/>
        <v>0.99999999990083466</v>
      </c>
    </row>
    <row r="121" spans="1:26" ht="28.5" customHeight="1">
      <c r="A121" s="26" t="e">
        <f>+CONCATENATE(#REF!,"=",J121)</f>
        <v>#REF!</v>
      </c>
      <c r="B121" s="66" t="str">
        <f>CONCATENATE(C121,"-",D121,"-",E121,"-",F121)</f>
        <v>B-10-04-01</v>
      </c>
      <c r="C121" s="67" t="s">
        <v>165</v>
      </c>
      <c r="D121" s="68">
        <v>10</v>
      </c>
      <c r="E121" s="68" t="s">
        <v>139</v>
      </c>
      <c r="F121" s="68" t="s">
        <v>33</v>
      </c>
      <c r="G121" s="68"/>
      <c r="H121" s="68"/>
      <c r="I121" s="69"/>
      <c r="J121" s="70" t="s">
        <v>158</v>
      </c>
      <c r="K121" s="71" t="s">
        <v>37</v>
      </c>
      <c r="L121" s="72" t="s">
        <v>169</v>
      </c>
      <c r="M121" s="73">
        <v>3731140006</v>
      </c>
      <c r="N121" s="73"/>
      <c r="O121" s="73"/>
      <c r="P121" s="73"/>
      <c r="Q121" s="73"/>
      <c r="R121" s="74"/>
      <c r="S121" s="73">
        <f>+M121-R121+N121-O121+P121-Q121</f>
        <v>3731140006</v>
      </c>
      <c r="T121" s="74">
        <v>3731140005.6300001</v>
      </c>
      <c r="U121" s="73">
        <f t="shared" ref="U121" si="94">+S121-T121</f>
        <v>0.36999988555908203</v>
      </c>
      <c r="V121" s="75">
        <f t="shared" si="60"/>
        <v>0.99999999990083466</v>
      </c>
      <c r="W121" s="76">
        <v>3731140005.6300001</v>
      </c>
      <c r="X121" s="75">
        <f t="shared" si="51"/>
        <v>0.99999999990083466</v>
      </c>
      <c r="Y121" s="76">
        <v>3731140005.6300001</v>
      </c>
      <c r="Z121" s="75">
        <f t="shared" si="52"/>
        <v>0.99999999990083466</v>
      </c>
    </row>
    <row r="122" spans="1:26" ht="32.15" customHeight="1">
      <c r="A122" s="26" t="e">
        <f>+CONCATENATE(#REF!,"=",J122)</f>
        <v>#REF!</v>
      </c>
      <c r="B122" s="103" t="s">
        <v>170</v>
      </c>
      <c r="C122" s="104" t="s">
        <v>170</v>
      </c>
      <c r="D122" s="105"/>
      <c r="E122" s="105"/>
      <c r="F122" s="105"/>
      <c r="G122" s="105"/>
      <c r="H122" s="105"/>
      <c r="I122" s="106"/>
      <c r="J122" s="107"/>
      <c r="K122" s="107"/>
      <c r="L122" s="103" t="s">
        <v>171</v>
      </c>
      <c r="M122" s="108">
        <f t="shared" ref="M122:U122" si="95">+M123+M237</f>
        <v>6468380211524</v>
      </c>
      <c r="N122" s="108">
        <f t="shared" si="95"/>
        <v>3345674651597</v>
      </c>
      <c r="O122" s="108">
        <f t="shared" si="95"/>
        <v>0</v>
      </c>
      <c r="P122" s="108">
        <f t="shared" si="95"/>
        <v>304826399808.40002</v>
      </c>
      <c r="Q122" s="108">
        <f t="shared" si="95"/>
        <v>304826399808.40002</v>
      </c>
      <c r="R122" s="108">
        <f t="shared" si="95"/>
        <v>0</v>
      </c>
      <c r="S122" s="108">
        <f t="shared" si="95"/>
        <v>9814054863121</v>
      </c>
      <c r="T122" s="108">
        <f t="shared" si="95"/>
        <v>8354681070137.2402</v>
      </c>
      <c r="U122" s="108">
        <f t="shared" si="95"/>
        <v>1459373792983.7598</v>
      </c>
      <c r="V122" s="109">
        <f t="shared" si="60"/>
        <v>0.85129757135679396</v>
      </c>
      <c r="W122" s="110">
        <f>+W123+W237</f>
        <v>8059201492075.7998</v>
      </c>
      <c r="X122" s="109">
        <f t="shared" si="51"/>
        <v>0.82118977369491353</v>
      </c>
      <c r="Y122" s="110">
        <f>+Y123+Y237</f>
        <v>8054707737887.7393</v>
      </c>
      <c r="Z122" s="109">
        <f t="shared" si="52"/>
        <v>0.82073188404066399</v>
      </c>
    </row>
    <row r="123" spans="1:26" ht="32.15" customHeight="1">
      <c r="A123" s="26" t="e">
        <f>+CONCATENATE(#REF!,"=",J123)</f>
        <v>#REF!</v>
      </c>
      <c r="B123" s="35" t="str">
        <f>CONCATENATE(C123,"-",D123)</f>
        <v>C-4103</v>
      </c>
      <c r="C123" s="36" t="s">
        <v>170</v>
      </c>
      <c r="D123" s="37">
        <v>4103</v>
      </c>
      <c r="E123" s="37"/>
      <c r="F123" s="37"/>
      <c r="G123" s="37"/>
      <c r="H123" s="37"/>
      <c r="I123" s="38"/>
      <c r="J123" s="39"/>
      <c r="K123" s="39"/>
      <c r="L123" s="35" t="s">
        <v>172</v>
      </c>
      <c r="M123" s="40">
        <f>+M124</f>
        <v>6462380211524</v>
      </c>
      <c r="N123" s="40">
        <f t="shared" ref="N123:U123" si="96">+N124</f>
        <v>3345674651597</v>
      </c>
      <c r="O123" s="40">
        <f t="shared" si="96"/>
        <v>0</v>
      </c>
      <c r="P123" s="40">
        <f t="shared" si="96"/>
        <v>304826399808.40002</v>
      </c>
      <c r="Q123" s="40">
        <f t="shared" si="96"/>
        <v>304826399808.40002</v>
      </c>
      <c r="R123" s="40">
        <f t="shared" si="96"/>
        <v>0</v>
      </c>
      <c r="S123" s="40">
        <f t="shared" si="96"/>
        <v>9808054863121</v>
      </c>
      <c r="T123" s="40">
        <f t="shared" si="96"/>
        <v>8348685367943.1201</v>
      </c>
      <c r="U123" s="40">
        <f t="shared" si="96"/>
        <v>1459369495177.8799</v>
      </c>
      <c r="V123" s="41">
        <f t="shared" si="60"/>
        <v>0.85120704201347652</v>
      </c>
      <c r="W123" s="42">
        <f t="shared" ref="W123" si="97">+W124</f>
        <v>8054020880481.6797</v>
      </c>
      <c r="X123" s="41">
        <f t="shared" si="51"/>
        <v>0.82116393034926671</v>
      </c>
      <c r="Y123" s="42">
        <f t="shared" ref="Y123" si="98">+Y124</f>
        <v>8049527126293.6191</v>
      </c>
      <c r="Z123" s="41">
        <f t="shared" si="52"/>
        <v>0.82070576058464217</v>
      </c>
    </row>
    <row r="124" spans="1:26" ht="28.5" customHeight="1">
      <c r="A124" s="26" t="e">
        <f>+CONCATENATE(#REF!,"=",J124)</f>
        <v>#REF!</v>
      </c>
      <c r="B124" s="43" t="str">
        <f>CONCATENATE(C124,"-",D124,"-",E124)</f>
        <v>C-4103-1500</v>
      </c>
      <c r="C124" s="44" t="s">
        <v>170</v>
      </c>
      <c r="D124" s="45">
        <v>4103</v>
      </c>
      <c r="E124" s="45">
        <v>1500</v>
      </c>
      <c r="F124" s="45"/>
      <c r="G124" s="45"/>
      <c r="H124" s="45"/>
      <c r="I124" s="46"/>
      <c r="J124" s="47"/>
      <c r="K124" s="47"/>
      <c r="L124" s="43" t="s">
        <v>173</v>
      </c>
      <c r="M124" s="48">
        <f>+M125+M134+M143+M149+M154+M162+M169+M175+M201+M186+M210+M159+M216+M225+M207+M231+M234</f>
        <v>6462380211524</v>
      </c>
      <c r="N124" s="48">
        <f>+N125+N134+N143+N149+N154+N162+N169+N175+N201+N186+N210+N159+N216+N225+N207+N231+N234</f>
        <v>3345674651597</v>
      </c>
      <c r="O124" s="48">
        <f>+O125+O134+O143+O149+O154+O162+O169+O175+O201+O186+O210+O159+O216+O225+O207+O231+O234</f>
        <v>0</v>
      </c>
      <c r="P124" s="48">
        <f>+P125+P134+P143+P149+P154+P162+P169+P175+P201+P186+P210+P159+P216+P225+P207+P231+P234</f>
        <v>304826399808.40002</v>
      </c>
      <c r="Q124" s="48">
        <f t="shared" ref="Q124:U124" si="99">+Q125+Q134+Q143+Q149+Q154+Q162+Q169+Q175+Q201+Q186+Q210+Q159+Q216+Q225+Q207+Q231+Q234</f>
        <v>304826399808.40002</v>
      </c>
      <c r="R124" s="48">
        <f t="shared" si="99"/>
        <v>0</v>
      </c>
      <c r="S124" s="48">
        <f t="shared" si="99"/>
        <v>9808054863121</v>
      </c>
      <c r="T124" s="48">
        <f t="shared" si="99"/>
        <v>8348685367943.1201</v>
      </c>
      <c r="U124" s="48">
        <f t="shared" si="99"/>
        <v>1459369495177.8799</v>
      </c>
      <c r="V124" s="49">
        <f t="shared" si="60"/>
        <v>0.85120704201347652</v>
      </c>
      <c r="W124" s="48">
        <f t="shared" ref="W124" si="100">+W125+W134+W143+W149+W154+W162+W169+W175+W201+W186+W210+W159+W216+W225+W207+W231+W234</f>
        <v>8054020880481.6797</v>
      </c>
      <c r="X124" s="49">
        <f t="shared" si="51"/>
        <v>0.82116393034926671</v>
      </c>
      <c r="Y124" s="48">
        <f t="shared" ref="Y124" si="101">+Y125+Y134+Y143+Y149+Y154+Y162+Y169+Y175+Y201+Y186+Y210+Y159+Y216+Y225+Y207+Y231+Y234</f>
        <v>8049527126293.6191</v>
      </c>
      <c r="Z124" s="49">
        <f t="shared" si="52"/>
        <v>0.82070576058464217</v>
      </c>
    </row>
    <row r="125" spans="1:26" ht="42" customHeight="1">
      <c r="A125" s="26" t="e">
        <f>+CONCATENATE(#REF!,"=",J125)</f>
        <v>#REF!</v>
      </c>
      <c r="B125" s="51" t="str">
        <f>CONCATENATE(C125,"-",D125,"-",E125,"-",F125)</f>
        <v>C-4103-1500-12</v>
      </c>
      <c r="C125" s="52" t="s">
        <v>170</v>
      </c>
      <c r="D125" s="53" t="s">
        <v>174</v>
      </c>
      <c r="E125" s="53" t="s">
        <v>175</v>
      </c>
      <c r="F125" s="53" t="s">
        <v>176</v>
      </c>
      <c r="G125" s="53"/>
      <c r="H125" s="53"/>
      <c r="I125" s="54"/>
      <c r="J125" s="55"/>
      <c r="K125" s="55"/>
      <c r="L125" s="51" t="s">
        <v>177</v>
      </c>
      <c r="M125" s="56">
        <f t="shared" ref="M125:U125" si="102">+M126+M130+M132</f>
        <v>2437607024958</v>
      </c>
      <c r="N125" s="56">
        <f t="shared" si="102"/>
        <v>3345674651597</v>
      </c>
      <c r="O125" s="56">
        <f t="shared" si="102"/>
        <v>0</v>
      </c>
      <c r="P125" s="56">
        <f t="shared" si="102"/>
        <v>49397758254.400002</v>
      </c>
      <c r="Q125" s="56">
        <f t="shared" si="102"/>
        <v>100697758254.39999</v>
      </c>
      <c r="R125" s="56">
        <f t="shared" si="102"/>
        <v>0</v>
      </c>
      <c r="S125" s="56">
        <f t="shared" si="102"/>
        <v>5731981676555</v>
      </c>
      <c r="T125" s="56">
        <f t="shared" si="102"/>
        <v>5186266134779.5605</v>
      </c>
      <c r="U125" s="56">
        <f t="shared" si="102"/>
        <v>545715541775.44006</v>
      </c>
      <c r="V125" s="57">
        <f t="shared" si="60"/>
        <v>0.9047946116074429</v>
      </c>
      <c r="W125" s="58">
        <f>+W126+W130+W132</f>
        <v>5166304269776.5801</v>
      </c>
      <c r="X125" s="57">
        <f t="shared" si="51"/>
        <v>0.90131206994395008</v>
      </c>
      <c r="Y125" s="58">
        <f>+Y126+Y130+Y132</f>
        <v>5166245788589.9199</v>
      </c>
      <c r="Z125" s="57">
        <f t="shared" si="52"/>
        <v>0.90130186733166684</v>
      </c>
    </row>
    <row r="126" spans="1:26" ht="28.5" customHeight="1">
      <c r="A126" s="26" t="e">
        <f>+CONCATENATE(#REF!,"=",J126)</f>
        <v>#REF!</v>
      </c>
      <c r="B126" s="59" t="str">
        <f>CONCATENATE(C126,"-",D126,"-",E126,"-",F126,"-",G126,"-",H126)</f>
        <v>C-4103-1500-12-0-4103006</v>
      </c>
      <c r="C126" s="60" t="s">
        <v>170</v>
      </c>
      <c r="D126" s="61" t="s">
        <v>174</v>
      </c>
      <c r="E126" s="61" t="s">
        <v>175</v>
      </c>
      <c r="F126" s="61" t="s">
        <v>176</v>
      </c>
      <c r="G126" s="61" t="s">
        <v>178</v>
      </c>
      <c r="H126" s="61" t="s">
        <v>179</v>
      </c>
      <c r="I126" s="62"/>
      <c r="J126" s="63"/>
      <c r="K126" s="63"/>
      <c r="L126" s="59" t="s">
        <v>180</v>
      </c>
      <c r="M126" s="64">
        <f t="shared" ref="M126:U126" si="103">SUM(M127:M129)</f>
        <v>2430621085885</v>
      </c>
      <c r="N126" s="64">
        <f t="shared" si="103"/>
        <v>3345674651597</v>
      </c>
      <c r="O126" s="64">
        <f t="shared" si="103"/>
        <v>0</v>
      </c>
      <c r="P126" s="64">
        <f t="shared" si="103"/>
        <v>49397758254.400002</v>
      </c>
      <c r="Q126" s="64">
        <f t="shared" si="103"/>
        <v>94311819181.399994</v>
      </c>
      <c r="R126" s="64">
        <f t="shared" si="103"/>
        <v>0</v>
      </c>
      <c r="S126" s="64">
        <f t="shared" si="103"/>
        <v>5731381676555</v>
      </c>
      <c r="T126" s="64">
        <f t="shared" si="103"/>
        <v>5186266134779.5605</v>
      </c>
      <c r="U126" s="64">
        <f t="shared" si="103"/>
        <v>545115541775.44006</v>
      </c>
      <c r="V126" s="65">
        <f t="shared" si="60"/>
        <v>0.90488933165883734</v>
      </c>
      <c r="W126" s="64">
        <f>SUM(W127:W129)</f>
        <v>5166304269776.5801</v>
      </c>
      <c r="X126" s="65">
        <f t="shared" si="51"/>
        <v>0.90140642541920624</v>
      </c>
      <c r="Y126" s="64">
        <f>SUM(Y127:Y129)</f>
        <v>5166245788589.9199</v>
      </c>
      <c r="Z126" s="65">
        <f t="shared" si="52"/>
        <v>0.90139622173884426</v>
      </c>
    </row>
    <row r="127" spans="1:26" ht="28.5" customHeight="1">
      <c r="A127" s="26" t="e">
        <f>+CONCATENATE(#REF!,"=",J127)</f>
        <v>#REF!</v>
      </c>
      <c r="B127" s="66" t="str">
        <f t="shared" ref="B127:B142" si="104">CONCATENATE(C127,"-",D127,"-",E127,"-",F127,"-",G127,"-",H127,"-",I127)</f>
        <v>C-4103-1500-12-0-4103006-02</v>
      </c>
      <c r="C127" s="67" t="s">
        <v>170</v>
      </c>
      <c r="D127" s="68" t="s">
        <v>174</v>
      </c>
      <c r="E127" s="68" t="s">
        <v>175</v>
      </c>
      <c r="F127" s="68" t="s">
        <v>176</v>
      </c>
      <c r="G127" s="68" t="s">
        <v>178</v>
      </c>
      <c r="H127" s="68" t="s">
        <v>179</v>
      </c>
      <c r="I127" s="69" t="s">
        <v>60</v>
      </c>
      <c r="J127" s="70">
        <v>10</v>
      </c>
      <c r="K127" s="71" t="s">
        <v>37</v>
      </c>
      <c r="L127" s="72" t="s">
        <v>86</v>
      </c>
      <c r="M127" s="73">
        <v>83108753174</v>
      </c>
      <c r="N127" s="73"/>
      <c r="O127" s="73"/>
      <c r="P127" s="73">
        <f>12244730829.4+21680000000+6385939073</f>
        <v>40310669902.400002</v>
      </c>
      <c r="Q127" s="77">
        <f>7032000000+2055088352+2300000000</f>
        <v>11387088352</v>
      </c>
      <c r="R127" s="74"/>
      <c r="S127" s="90">
        <f>+M127-R127+N127-O127+P127-Q127</f>
        <v>112032334724.39999</v>
      </c>
      <c r="T127" s="73">
        <v>81413038279.559998</v>
      </c>
      <c r="U127" s="73">
        <f>+S127-T127</f>
        <v>30619296444.839996</v>
      </c>
      <c r="V127" s="75">
        <f t="shared" si="60"/>
        <v>0.72669232931578553</v>
      </c>
      <c r="W127" s="76">
        <v>66339713276.580002</v>
      </c>
      <c r="X127" s="75">
        <f t="shared" si="51"/>
        <v>0.59214791372308695</v>
      </c>
      <c r="Y127" s="76">
        <v>66281232089.919998</v>
      </c>
      <c r="Z127" s="75">
        <f t="shared" si="52"/>
        <v>0.59162591097447093</v>
      </c>
    </row>
    <row r="128" spans="1:26" ht="28.5" customHeight="1">
      <c r="A128" s="26" t="e">
        <f>+CONCATENATE(#REF!,"=",J128)</f>
        <v>#REF!</v>
      </c>
      <c r="B128" s="66" t="str">
        <f t="shared" si="104"/>
        <v>C-4103-1500-12-0-4103006-03</v>
      </c>
      <c r="C128" s="67" t="s">
        <v>170</v>
      </c>
      <c r="D128" s="68" t="s">
        <v>174</v>
      </c>
      <c r="E128" s="68" t="s">
        <v>175</v>
      </c>
      <c r="F128" s="68" t="s">
        <v>176</v>
      </c>
      <c r="G128" s="68" t="s">
        <v>178</v>
      </c>
      <c r="H128" s="68" t="s">
        <v>179</v>
      </c>
      <c r="I128" s="69" t="s">
        <v>71</v>
      </c>
      <c r="J128" s="70">
        <v>10</v>
      </c>
      <c r="K128" s="71" t="s">
        <v>37</v>
      </c>
      <c r="L128" s="72" t="s">
        <v>134</v>
      </c>
      <c r="M128" s="73">
        <v>2347512332711</v>
      </c>
      <c r="N128" s="73"/>
      <c r="O128" s="73"/>
      <c r="P128" s="90">
        <f>7032000000+2055088352</f>
        <v>9087088352</v>
      </c>
      <c r="Q128" s="73">
        <f>12244730829.4+21680000000</f>
        <v>33924730829.400002</v>
      </c>
      <c r="R128" s="74"/>
      <c r="S128" s="90">
        <f>+M128-R128+N128-O128+P128-Q128</f>
        <v>2322674690233.6001</v>
      </c>
      <c r="T128" s="73">
        <v>2270684136888</v>
      </c>
      <c r="U128" s="73">
        <f>+S128-T128</f>
        <v>51990553345.600098</v>
      </c>
      <c r="V128" s="75">
        <f t="shared" si="60"/>
        <v>0.9776160847818206</v>
      </c>
      <c r="W128" s="76">
        <v>2270684136888</v>
      </c>
      <c r="X128" s="75">
        <f t="shared" si="51"/>
        <v>0.9776160847818206</v>
      </c>
      <c r="Y128" s="76">
        <v>2270684136888</v>
      </c>
      <c r="Z128" s="75">
        <f t="shared" si="52"/>
        <v>0.9776160847818206</v>
      </c>
    </row>
    <row r="129" spans="1:26" ht="28.5" customHeight="1">
      <c r="A129" s="26" t="e">
        <f>+CONCATENATE(#REF!,"=",J129)</f>
        <v>#REF!</v>
      </c>
      <c r="B129" s="66" t="str">
        <f t="shared" si="104"/>
        <v>C-4103-1500-12-0-4103006-03</v>
      </c>
      <c r="C129" s="67" t="s">
        <v>170</v>
      </c>
      <c r="D129" s="68" t="s">
        <v>174</v>
      </c>
      <c r="E129" s="68" t="s">
        <v>175</v>
      </c>
      <c r="F129" s="68" t="s">
        <v>176</v>
      </c>
      <c r="G129" s="68" t="s">
        <v>178</v>
      </c>
      <c r="H129" s="68" t="s">
        <v>179</v>
      </c>
      <c r="I129" s="69" t="s">
        <v>71</v>
      </c>
      <c r="J129" s="70">
        <v>11</v>
      </c>
      <c r="K129" s="71" t="s">
        <v>37</v>
      </c>
      <c r="L129" s="72" t="s">
        <v>134</v>
      </c>
      <c r="M129" s="73"/>
      <c r="N129" s="73">
        <v>3345674651597</v>
      </c>
      <c r="O129" s="73"/>
      <c r="P129" s="90"/>
      <c r="Q129" s="74">
        <v>49000000000</v>
      </c>
      <c r="R129" s="74"/>
      <c r="S129" s="90">
        <f>+M129-R129+N129-O129+P129-Q129</f>
        <v>3296674651597</v>
      </c>
      <c r="T129" s="73">
        <v>2834168959612</v>
      </c>
      <c r="U129" s="73">
        <f>+S129-T129</f>
        <v>462505691985</v>
      </c>
      <c r="V129" s="75">
        <f t="shared" si="60"/>
        <v>0.85970538774247873</v>
      </c>
      <c r="W129" s="76">
        <v>2829280419612</v>
      </c>
      <c r="X129" s="75">
        <f t="shared" si="51"/>
        <v>0.85822251772446478</v>
      </c>
      <c r="Y129" s="76">
        <v>2829280419612</v>
      </c>
      <c r="Z129" s="75">
        <f t="shared" si="52"/>
        <v>0.85822251772446478</v>
      </c>
    </row>
    <row r="130" spans="1:26" ht="28.5" customHeight="1">
      <c r="A130" s="26" t="e">
        <f>+CONCATENATE(#REF!,"=",J130)</f>
        <v>#REF!</v>
      </c>
      <c r="B130" s="59" t="str">
        <f>CONCATENATE(C130,"-",D130,"-",E130,"-",F130,"-",G130,"-",H130)</f>
        <v>C-4103-1500-12-0-4103009</v>
      </c>
      <c r="C130" s="60" t="s">
        <v>170</v>
      </c>
      <c r="D130" s="61" t="s">
        <v>174</v>
      </c>
      <c r="E130" s="61" t="s">
        <v>175</v>
      </c>
      <c r="F130" s="61" t="s">
        <v>176</v>
      </c>
      <c r="G130" s="61" t="s">
        <v>178</v>
      </c>
      <c r="H130" s="61">
        <v>4103009</v>
      </c>
      <c r="I130" s="62"/>
      <c r="J130" s="63"/>
      <c r="K130" s="63" t="s">
        <v>37</v>
      </c>
      <c r="L130" s="59" t="s">
        <v>181</v>
      </c>
      <c r="M130" s="64">
        <f>+M131</f>
        <v>6385939073</v>
      </c>
      <c r="N130" s="64">
        <f>+N131</f>
        <v>0</v>
      </c>
      <c r="O130" s="64">
        <f t="shared" ref="O130:Y130" si="105">+O131</f>
        <v>0</v>
      </c>
      <c r="P130" s="64">
        <f t="shared" si="105"/>
        <v>0</v>
      </c>
      <c r="Q130" s="64">
        <f t="shared" si="105"/>
        <v>6385939073</v>
      </c>
      <c r="R130" s="64">
        <f t="shared" si="105"/>
        <v>0</v>
      </c>
      <c r="S130" s="64">
        <f t="shared" si="105"/>
        <v>0</v>
      </c>
      <c r="T130" s="64">
        <f t="shared" si="105"/>
        <v>0</v>
      </c>
      <c r="U130" s="64">
        <f t="shared" si="105"/>
        <v>0</v>
      </c>
      <c r="V130" s="65">
        <f t="shared" si="60"/>
        <v>0</v>
      </c>
      <c r="W130" s="64">
        <f t="shared" si="105"/>
        <v>0</v>
      </c>
      <c r="X130" s="65" t="e">
        <f t="shared" si="51"/>
        <v>#DIV/0!</v>
      </c>
      <c r="Y130" s="64">
        <f t="shared" si="105"/>
        <v>0</v>
      </c>
      <c r="Z130" s="65" t="e">
        <f t="shared" si="52"/>
        <v>#DIV/0!</v>
      </c>
    </row>
    <row r="131" spans="1:26" ht="28.5" customHeight="1">
      <c r="A131" s="26" t="e">
        <f>+CONCATENATE(#REF!,"=",J131)</f>
        <v>#REF!</v>
      </c>
      <c r="B131" s="66" t="str">
        <f t="shared" si="104"/>
        <v>C-4103-1500-12-0-4103009-02</v>
      </c>
      <c r="C131" s="67" t="s">
        <v>170</v>
      </c>
      <c r="D131" s="68" t="s">
        <v>174</v>
      </c>
      <c r="E131" s="68" t="s">
        <v>175</v>
      </c>
      <c r="F131" s="68" t="s">
        <v>176</v>
      </c>
      <c r="G131" s="68" t="s">
        <v>178</v>
      </c>
      <c r="H131" s="68">
        <v>4103009</v>
      </c>
      <c r="I131" s="69" t="s">
        <v>60</v>
      </c>
      <c r="J131" s="70">
        <v>10</v>
      </c>
      <c r="K131" s="71" t="s">
        <v>37</v>
      </c>
      <c r="L131" s="72" t="s">
        <v>86</v>
      </c>
      <c r="M131" s="73">
        <v>6385939073</v>
      </c>
      <c r="N131" s="73"/>
      <c r="O131" s="73"/>
      <c r="P131" s="73"/>
      <c r="Q131" s="90">
        <v>6385939073</v>
      </c>
      <c r="R131" s="74"/>
      <c r="S131" s="90">
        <f>+M131-R131+N131-O131+P131-Q131</f>
        <v>0</v>
      </c>
      <c r="T131" s="73">
        <v>0</v>
      </c>
      <c r="U131" s="73">
        <f>+S131-T131</f>
        <v>0</v>
      </c>
      <c r="V131" s="75">
        <f t="shared" si="60"/>
        <v>0</v>
      </c>
      <c r="W131" s="76">
        <v>0</v>
      </c>
      <c r="X131" s="75" t="e">
        <f t="shared" si="51"/>
        <v>#DIV/0!</v>
      </c>
      <c r="Y131" s="76">
        <v>0</v>
      </c>
      <c r="Z131" s="75" t="e">
        <f t="shared" si="52"/>
        <v>#DIV/0!</v>
      </c>
    </row>
    <row r="132" spans="1:26" ht="28.5" customHeight="1">
      <c r="A132" s="26" t="e">
        <f>+CONCATENATE(#REF!,"=",J132)</f>
        <v>#REF!</v>
      </c>
      <c r="B132" s="59" t="str">
        <f>CONCATENATE(C132,"-",D132,"-",E132,"-",F132,"-",G132,"-",H132)</f>
        <v>C-4103-1500-12-0-4103047</v>
      </c>
      <c r="C132" s="60" t="s">
        <v>170</v>
      </c>
      <c r="D132" s="61" t="s">
        <v>174</v>
      </c>
      <c r="E132" s="61" t="s">
        <v>175</v>
      </c>
      <c r="F132" s="61" t="s">
        <v>176</v>
      </c>
      <c r="G132" s="61" t="s">
        <v>178</v>
      </c>
      <c r="H132" s="61">
        <v>4103047</v>
      </c>
      <c r="I132" s="62"/>
      <c r="J132" s="63"/>
      <c r="K132" s="63" t="s">
        <v>37</v>
      </c>
      <c r="L132" s="59" t="s">
        <v>182</v>
      </c>
      <c r="M132" s="64">
        <f>+M133</f>
        <v>600000000</v>
      </c>
      <c r="N132" s="64">
        <f>+N133</f>
        <v>0</v>
      </c>
      <c r="O132" s="64">
        <f t="shared" ref="O132:U132" si="106">+O133</f>
        <v>0</v>
      </c>
      <c r="P132" s="64">
        <f t="shared" si="106"/>
        <v>0</v>
      </c>
      <c r="Q132" s="64">
        <f t="shared" si="106"/>
        <v>0</v>
      </c>
      <c r="R132" s="64">
        <f t="shared" si="106"/>
        <v>0</v>
      </c>
      <c r="S132" s="64">
        <f t="shared" si="106"/>
        <v>600000000</v>
      </c>
      <c r="T132" s="64">
        <f t="shared" si="106"/>
        <v>0</v>
      </c>
      <c r="U132" s="64">
        <f t="shared" si="106"/>
        <v>600000000</v>
      </c>
      <c r="V132" s="65">
        <f t="shared" si="60"/>
        <v>0</v>
      </c>
      <c r="W132" s="64">
        <f t="shared" ref="W132" si="107">+W133</f>
        <v>0</v>
      </c>
      <c r="X132" s="65">
        <f t="shared" si="51"/>
        <v>0</v>
      </c>
      <c r="Y132" s="64">
        <f t="shared" ref="Y132" si="108">+Y133</f>
        <v>0</v>
      </c>
      <c r="Z132" s="65">
        <f t="shared" si="52"/>
        <v>0</v>
      </c>
    </row>
    <row r="133" spans="1:26" ht="28.5" customHeight="1">
      <c r="A133" s="26" t="e">
        <f>+CONCATENATE(#REF!,"=",J133)</f>
        <v>#REF!</v>
      </c>
      <c r="B133" s="66" t="str">
        <f t="shared" ref="B133" si="109">CONCATENATE(C133,"-",D133,"-",E133,"-",F133,"-",G133,"-",H133,"-",I133)</f>
        <v>C-4103-1500-12-0-4103047-02</v>
      </c>
      <c r="C133" s="67" t="s">
        <v>170</v>
      </c>
      <c r="D133" s="68" t="s">
        <v>174</v>
      </c>
      <c r="E133" s="68" t="s">
        <v>175</v>
      </c>
      <c r="F133" s="68" t="s">
        <v>176</v>
      </c>
      <c r="G133" s="68" t="s">
        <v>178</v>
      </c>
      <c r="H133" s="68">
        <v>4103047</v>
      </c>
      <c r="I133" s="69" t="s">
        <v>60</v>
      </c>
      <c r="J133" s="70">
        <v>10</v>
      </c>
      <c r="K133" s="71" t="s">
        <v>37</v>
      </c>
      <c r="L133" s="72" t="s">
        <v>86</v>
      </c>
      <c r="M133" s="73">
        <v>600000000</v>
      </c>
      <c r="N133" s="73"/>
      <c r="O133" s="73"/>
      <c r="P133" s="73"/>
      <c r="Q133" s="73"/>
      <c r="R133" s="74"/>
      <c r="S133" s="73">
        <f>+M133-R133+N133-O133+P133-Q133</f>
        <v>600000000</v>
      </c>
      <c r="T133" s="73">
        <v>0</v>
      </c>
      <c r="U133" s="73">
        <f>+S133-T133</f>
        <v>600000000</v>
      </c>
      <c r="V133" s="75">
        <f t="shared" si="60"/>
        <v>0</v>
      </c>
      <c r="W133" s="76">
        <v>0</v>
      </c>
      <c r="X133" s="75">
        <f t="shared" si="51"/>
        <v>0</v>
      </c>
      <c r="Y133" s="76">
        <v>0</v>
      </c>
      <c r="Z133" s="75">
        <f t="shared" si="52"/>
        <v>0</v>
      </c>
    </row>
    <row r="134" spans="1:26" ht="31.5" customHeight="1">
      <c r="A134" s="26" t="e">
        <f>+CONCATENATE(#REF!,"=",J134)</f>
        <v>#REF!</v>
      </c>
      <c r="B134" s="51" t="str">
        <f>CONCATENATE(C134,"-",D134,"-",E134,"-",F134)</f>
        <v>C-4103-1500-13</v>
      </c>
      <c r="C134" s="52" t="s">
        <v>170</v>
      </c>
      <c r="D134" s="53" t="s">
        <v>174</v>
      </c>
      <c r="E134" s="53" t="s">
        <v>175</v>
      </c>
      <c r="F134" s="53" t="s">
        <v>183</v>
      </c>
      <c r="G134" s="53"/>
      <c r="H134" s="53"/>
      <c r="I134" s="54"/>
      <c r="J134" s="55"/>
      <c r="K134" s="55"/>
      <c r="L134" s="51" t="s">
        <v>184</v>
      </c>
      <c r="M134" s="56">
        <f>+M135+M137+M139+M141</f>
        <v>40000000000</v>
      </c>
      <c r="N134" s="56">
        <f t="shared" ref="N134:Y134" si="110">+N135+N137+N139+N141</f>
        <v>0</v>
      </c>
      <c r="O134" s="56">
        <f t="shared" si="110"/>
        <v>0</v>
      </c>
      <c r="P134" s="56">
        <f t="shared" si="110"/>
        <v>300000000</v>
      </c>
      <c r="Q134" s="56">
        <f t="shared" si="110"/>
        <v>29390362137</v>
      </c>
      <c r="R134" s="56">
        <f t="shared" si="110"/>
        <v>0</v>
      </c>
      <c r="S134" s="56">
        <f t="shared" si="110"/>
        <v>10909637863</v>
      </c>
      <c r="T134" s="56">
        <f t="shared" si="110"/>
        <v>9854601544.2600002</v>
      </c>
      <c r="U134" s="56">
        <f t="shared" si="110"/>
        <v>1055036318.74</v>
      </c>
      <c r="V134" s="57">
        <f t="shared" si="60"/>
        <v>0.90329318608107501</v>
      </c>
      <c r="W134" s="58">
        <f t="shared" si="110"/>
        <v>9773695731</v>
      </c>
      <c r="X134" s="57">
        <f t="shared" si="51"/>
        <v>0.89587719168456137</v>
      </c>
      <c r="Y134" s="58">
        <f t="shared" si="110"/>
        <v>9773695731</v>
      </c>
      <c r="Z134" s="57">
        <f t="shared" si="52"/>
        <v>0.89587719168456137</v>
      </c>
    </row>
    <row r="135" spans="1:26" ht="28.5" customHeight="1">
      <c r="A135" s="26" t="e">
        <f>+CONCATENATE(#REF!,"=",J135)</f>
        <v>#REF!</v>
      </c>
      <c r="B135" s="59" t="str">
        <f>CONCATENATE(C135,"-",D135,"-",E135,"-",F135,"-",G135,"-",H135)</f>
        <v>C-4103-1500-13-0-4103051</v>
      </c>
      <c r="C135" s="60" t="s">
        <v>170</v>
      </c>
      <c r="D135" s="61" t="s">
        <v>174</v>
      </c>
      <c r="E135" s="61" t="s">
        <v>175</v>
      </c>
      <c r="F135" s="61" t="s">
        <v>183</v>
      </c>
      <c r="G135" s="61" t="s">
        <v>178</v>
      </c>
      <c r="H135" s="61" t="s">
        <v>185</v>
      </c>
      <c r="I135" s="62"/>
      <c r="J135" s="63"/>
      <c r="K135" s="63" t="s">
        <v>37</v>
      </c>
      <c r="L135" s="59" t="s">
        <v>186</v>
      </c>
      <c r="M135" s="64">
        <f>+M136</f>
        <v>2721167612</v>
      </c>
      <c r="N135" s="64">
        <f t="shared" ref="N135:Y135" si="111">+N136</f>
        <v>0</v>
      </c>
      <c r="O135" s="64">
        <f t="shared" si="111"/>
        <v>0</v>
      </c>
      <c r="P135" s="64">
        <f t="shared" si="111"/>
        <v>0</v>
      </c>
      <c r="Q135" s="64">
        <f t="shared" si="111"/>
        <v>2499272354</v>
      </c>
      <c r="R135" s="64">
        <f t="shared" si="111"/>
        <v>0</v>
      </c>
      <c r="S135" s="64">
        <f t="shared" si="111"/>
        <v>221895258</v>
      </c>
      <c r="T135" s="64">
        <f t="shared" si="111"/>
        <v>221895258</v>
      </c>
      <c r="U135" s="64">
        <f t="shared" si="111"/>
        <v>0</v>
      </c>
      <c r="V135" s="65">
        <f t="shared" si="60"/>
        <v>1</v>
      </c>
      <c r="W135" s="64">
        <f t="shared" si="111"/>
        <v>221895258</v>
      </c>
      <c r="X135" s="65">
        <f t="shared" si="51"/>
        <v>1</v>
      </c>
      <c r="Y135" s="64">
        <f t="shared" si="111"/>
        <v>221895258</v>
      </c>
      <c r="Z135" s="65">
        <f t="shared" si="52"/>
        <v>1</v>
      </c>
    </row>
    <row r="136" spans="1:26" ht="28.5" customHeight="1">
      <c r="A136" s="26" t="e">
        <f>+CONCATENATE(#REF!,"=",J136)</f>
        <v>#REF!</v>
      </c>
      <c r="B136" s="66" t="str">
        <f t="shared" si="104"/>
        <v>C-4103-1500-13-0-4103051-02</v>
      </c>
      <c r="C136" s="67" t="s">
        <v>170</v>
      </c>
      <c r="D136" s="68" t="s">
        <v>174</v>
      </c>
      <c r="E136" s="68" t="s">
        <v>175</v>
      </c>
      <c r="F136" s="68" t="s">
        <v>183</v>
      </c>
      <c r="G136" s="68" t="s">
        <v>178</v>
      </c>
      <c r="H136" s="68" t="s">
        <v>185</v>
      </c>
      <c r="I136" s="69" t="s">
        <v>60</v>
      </c>
      <c r="J136" s="70">
        <v>11</v>
      </c>
      <c r="K136" s="71" t="s">
        <v>37</v>
      </c>
      <c r="L136" s="72" t="s">
        <v>86</v>
      </c>
      <c r="M136" s="73">
        <v>2721167612</v>
      </c>
      <c r="N136" s="73"/>
      <c r="O136" s="73"/>
      <c r="P136" s="73"/>
      <c r="Q136" s="73">
        <v>2499272354</v>
      </c>
      <c r="R136" s="74">
        <v>0</v>
      </c>
      <c r="S136" s="90">
        <f>+M136-R136+N136-O136+P136-Q136</f>
        <v>221895258</v>
      </c>
      <c r="T136" s="73">
        <v>221895258</v>
      </c>
      <c r="U136" s="73">
        <f t="shared" ref="U136:U153" si="112">+S136-T136</f>
        <v>0</v>
      </c>
      <c r="V136" s="75">
        <f t="shared" si="60"/>
        <v>1</v>
      </c>
      <c r="W136" s="76">
        <v>221895258</v>
      </c>
      <c r="X136" s="75">
        <f t="shared" ref="X136:X199" si="113">+W136/S136</f>
        <v>1</v>
      </c>
      <c r="Y136" s="76">
        <v>221895258</v>
      </c>
      <c r="Z136" s="75">
        <f t="shared" ref="Z136:Z199" si="114">+Y136/S136</f>
        <v>1</v>
      </c>
    </row>
    <row r="137" spans="1:26" ht="28.5" customHeight="1">
      <c r="A137" s="26" t="e">
        <f>+CONCATENATE(#REF!,"=",J137)</f>
        <v>#REF!</v>
      </c>
      <c r="B137" s="59" t="str">
        <f>CONCATENATE(C137,"-",D137,"-",E137,"-",F137,"-",G137,"-",H137)</f>
        <v>C-4103-1500-13-0-4103053</v>
      </c>
      <c r="C137" s="60" t="s">
        <v>170</v>
      </c>
      <c r="D137" s="61" t="s">
        <v>174</v>
      </c>
      <c r="E137" s="61" t="s">
        <v>175</v>
      </c>
      <c r="F137" s="61" t="s">
        <v>183</v>
      </c>
      <c r="G137" s="61" t="s">
        <v>178</v>
      </c>
      <c r="H137" s="61" t="s">
        <v>187</v>
      </c>
      <c r="I137" s="62"/>
      <c r="J137" s="63"/>
      <c r="K137" s="63" t="s">
        <v>37</v>
      </c>
      <c r="L137" s="59" t="s">
        <v>188</v>
      </c>
      <c r="M137" s="64">
        <f>+M138</f>
        <v>2097587400</v>
      </c>
      <c r="N137" s="64">
        <f t="shared" ref="N137:Y137" si="115">+N138</f>
        <v>0</v>
      </c>
      <c r="O137" s="64">
        <f t="shared" si="115"/>
        <v>0</v>
      </c>
      <c r="P137" s="64">
        <f t="shared" si="115"/>
        <v>0</v>
      </c>
      <c r="Q137" s="64">
        <f t="shared" si="115"/>
        <v>1801727058</v>
      </c>
      <c r="R137" s="64">
        <f t="shared" si="115"/>
        <v>0</v>
      </c>
      <c r="S137" s="64">
        <f t="shared" si="115"/>
        <v>295860342</v>
      </c>
      <c r="T137" s="64">
        <f t="shared" si="115"/>
        <v>295860342</v>
      </c>
      <c r="U137" s="64">
        <f t="shared" si="115"/>
        <v>0</v>
      </c>
      <c r="V137" s="65">
        <f t="shared" si="60"/>
        <v>1</v>
      </c>
      <c r="W137" s="64">
        <f t="shared" si="115"/>
        <v>295860342</v>
      </c>
      <c r="X137" s="65">
        <f t="shared" si="113"/>
        <v>1</v>
      </c>
      <c r="Y137" s="64">
        <f t="shared" si="115"/>
        <v>295860342</v>
      </c>
      <c r="Z137" s="65">
        <f t="shared" si="114"/>
        <v>1</v>
      </c>
    </row>
    <row r="138" spans="1:26" ht="28.5" customHeight="1">
      <c r="A138" s="26" t="e">
        <f>+CONCATENATE(#REF!,"=",J138)</f>
        <v>#REF!</v>
      </c>
      <c r="B138" s="66" t="str">
        <f t="shared" si="104"/>
        <v>C-4103-1500-13-0-4103053-02</v>
      </c>
      <c r="C138" s="67" t="s">
        <v>170</v>
      </c>
      <c r="D138" s="68" t="s">
        <v>174</v>
      </c>
      <c r="E138" s="68" t="s">
        <v>175</v>
      </c>
      <c r="F138" s="68" t="s">
        <v>183</v>
      </c>
      <c r="G138" s="68" t="s">
        <v>178</v>
      </c>
      <c r="H138" s="68" t="s">
        <v>187</v>
      </c>
      <c r="I138" s="69" t="s">
        <v>60</v>
      </c>
      <c r="J138" s="70">
        <v>11</v>
      </c>
      <c r="K138" s="71" t="s">
        <v>37</v>
      </c>
      <c r="L138" s="72" t="s">
        <v>86</v>
      </c>
      <c r="M138" s="73">
        <v>2097587400</v>
      </c>
      <c r="N138" s="73"/>
      <c r="O138" s="73"/>
      <c r="P138" s="73"/>
      <c r="Q138" s="73">
        <v>1801727058</v>
      </c>
      <c r="R138" s="74">
        <v>0</v>
      </c>
      <c r="S138" s="73">
        <f>+M138-R138+N138-O138+P138-Q138</f>
        <v>295860342</v>
      </c>
      <c r="T138" s="73">
        <v>295860342</v>
      </c>
      <c r="U138" s="73">
        <f t="shared" si="112"/>
        <v>0</v>
      </c>
      <c r="V138" s="75">
        <f t="shared" si="60"/>
        <v>1</v>
      </c>
      <c r="W138" s="76">
        <v>295860342</v>
      </c>
      <c r="X138" s="75">
        <f t="shared" si="113"/>
        <v>1</v>
      </c>
      <c r="Y138" s="76">
        <v>295860342</v>
      </c>
      <c r="Z138" s="75">
        <f t="shared" si="114"/>
        <v>1</v>
      </c>
    </row>
    <row r="139" spans="1:26" ht="28.5" customHeight="1">
      <c r="A139" s="26" t="e">
        <f>+CONCATENATE(#REF!,"=",J139)</f>
        <v>#REF!</v>
      </c>
      <c r="B139" s="59" t="str">
        <f>CONCATENATE(C139,"-",D139,"-",E139,"-",F139,"-",G139,"-",H139)</f>
        <v>C-4103-1500-13-0-4103054</v>
      </c>
      <c r="C139" s="60" t="s">
        <v>170</v>
      </c>
      <c r="D139" s="61" t="s">
        <v>174</v>
      </c>
      <c r="E139" s="61" t="s">
        <v>175</v>
      </c>
      <c r="F139" s="61" t="s">
        <v>183</v>
      </c>
      <c r="G139" s="61" t="s">
        <v>178</v>
      </c>
      <c r="H139" s="61" t="s">
        <v>189</v>
      </c>
      <c r="I139" s="62"/>
      <c r="J139" s="63"/>
      <c r="K139" s="63" t="s">
        <v>37</v>
      </c>
      <c r="L139" s="59" t="s">
        <v>190</v>
      </c>
      <c r="M139" s="64">
        <f>+M140</f>
        <v>2265502874</v>
      </c>
      <c r="N139" s="64">
        <f t="shared" ref="N139:Y139" si="116">+N140</f>
        <v>0</v>
      </c>
      <c r="O139" s="64">
        <f t="shared" si="116"/>
        <v>0</v>
      </c>
      <c r="P139" s="64">
        <f t="shared" si="116"/>
        <v>300000000</v>
      </c>
      <c r="Q139" s="64">
        <f t="shared" si="116"/>
        <v>66055532</v>
      </c>
      <c r="R139" s="64">
        <f t="shared" si="116"/>
        <v>0</v>
      </c>
      <c r="S139" s="64">
        <f t="shared" si="116"/>
        <v>2499447342</v>
      </c>
      <c r="T139" s="64">
        <f t="shared" si="116"/>
        <v>1907154098.26</v>
      </c>
      <c r="U139" s="64">
        <f t="shared" si="116"/>
        <v>592293243.74000001</v>
      </c>
      <c r="V139" s="65">
        <f t="shared" si="60"/>
        <v>0.76303031722762338</v>
      </c>
      <c r="W139" s="64">
        <f t="shared" si="116"/>
        <v>1826248285</v>
      </c>
      <c r="X139" s="65">
        <f t="shared" si="113"/>
        <v>0.73066083622257005</v>
      </c>
      <c r="Y139" s="64">
        <f t="shared" si="116"/>
        <v>1826248285</v>
      </c>
      <c r="Z139" s="65">
        <f t="shared" si="114"/>
        <v>0.73066083622257005</v>
      </c>
    </row>
    <row r="140" spans="1:26" ht="28.5" customHeight="1">
      <c r="A140" s="26" t="e">
        <f>+CONCATENATE(#REF!,"=",J140)</f>
        <v>#REF!</v>
      </c>
      <c r="B140" s="66" t="str">
        <f t="shared" si="104"/>
        <v>C-4103-1500-13-0-4103054-02</v>
      </c>
      <c r="C140" s="67" t="s">
        <v>170</v>
      </c>
      <c r="D140" s="68" t="s">
        <v>174</v>
      </c>
      <c r="E140" s="68" t="s">
        <v>175</v>
      </c>
      <c r="F140" s="68" t="s">
        <v>183</v>
      </c>
      <c r="G140" s="68" t="s">
        <v>178</v>
      </c>
      <c r="H140" s="68" t="s">
        <v>189</v>
      </c>
      <c r="I140" s="69" t="s">
        <v>60</v>
      </c>
      <c r="J140" s="70">
        <v>11</v>
      </c>
      <c r="K140" s="71" t="s">
        <v>37</v>
      </c>
      <c r="L140" s="72" t="s">
        <v>86</v>
      </c>
      <c r="M140" s="73">
        <v>2265502874</v>
      </c>
      <c r="N140" s="73"/>
      <c r="O140" s="73"/>
      <c r="P140" s="73">
        <f>300000000</f>
        <v>300000000</v>
      </c>
      <c r="Q140" s="73">
        <v>66055532</v>
      </c>
      <c r="R140" s="74">
        <v>0</v>
      </c>
      <c r="S140" s="73">
        <f>+M140-R140+N140-O140+P140-Q140</f>
        <v>2499447342</v>
      </c>
      <c r="T140" s="73">
        <v>1907154098.26</v>
      </c>
      <c r="U140" s="73">
        <f t="shared" si="112"/>
        <v>592293243.74000001</v>
      </c>
      <c r="V140" s="75">
        <f t="shared" si="60"/>
        <v>0.76303031722762338</v>
      </c>
      <c r="W140" s="76">
        <v>1826248285</v>
      </c>
      <c r="X140" s="75">
        <f t="shared" si="113"/>
        <v>0.73066083622257005</v>
      </c>
      <c r="Y140" s="76">
        <v>1826248285</v>
      </c>
      <c r="Z140" s="75">
        <f t="shared" si="114"/>
        <v>0.73066083622257005</v>
      </c>
    </row>
    <row r="141" spans="1:26" ht="28.5" customHeight="1">
      <c r="A141" s="26" t="e">
        <f>+CONCATENATE(#REF!,"=",J141)</f>
        <v>#REF!</v>
      </c>
      <c r="B141" s="59" t="str">
        <f>CONCATENATE(C141,"-",D141,"-",E141,"-",F141,"-",G141,"-",H141)</f>
        <v>C-4103-1500-13-0-4103055</v>
      </c>
      <c r="C141" s="60" t="s">
        <v>170</v>
      </c>
      <c r="D141" s="61" t="s">
        <v>174</v>
      </c>
      <c r="E141" s="61" t="s">
        <v>175</v>
      </c>
      <c r="F141" s="61" t="s">
        <v>183</v>
      </c>
      <c r="G141" s="61" t="s">
        <v>178</v>
      </c>
      <c r="H141" s="61" t="s">
        <v>191</v>
      </c>
      <c r="I141" s="62"/>
      <c r="J141" s="63"/>
      <c r="K141" s="63" t="s">
        <v>37</v>
      </c>
      <c r="L141" s="59" t="s">
        <v>192</v>
      </c>
      <c r="M141" s="64">
        <f t="shared" ref="M141:U141" si="117">SUM(M142:M142)</f>
        <v>32915742114</v>
      </c>
      <c r="N141" s="64">
        <f t="shared" si="117"/>
        <v>0</v>
      </c>
      <c r="O141" s="64">
        <f t="shared" si="117"/>
        <v>0</v>
      </c>
      <c r="P141" s="64">
        <f t="shared" si="117"/>
        <v>0</v>
      </c>
      <c r="Q141" s="64">
        <f t="shared" si="117"/>
        <v>25023307193</v>
      </c>
      <c r="R141" s="64">
        <f t="shared" si="117"/>
        <v>0</v>
      </c>
      <c r="S141" s="64">
        <f t="shared" si="117"/>
        <v>7892434921</v>
      </c>
      <c r="T141" s="64">
        <f t="shared" si="117"/>
        <v>7429691846</v>
      </c>
      <c r="U141" s="64">
        <f t="shared" si="117"/>
        <v>462743075</v>
      </c>
      <c r="V141" s="65">
        <f t="shared" si="60"/>
        <v>0.94136878167107285</v>
      </c>
      <c r="W141" s="64">
        <f t="shared" ref="W141" si="118">SUM(W142:W142)</f>
        <v>7429691846</v>
      </c>
      <c r="X141" s="65">
        <f t="shared" si="113"/>
        <v>0.94136878167107285</v>
      </c>
      <c r="Y141" s="64">
        <f t="shared" ref="Y141" si="119">SUM(Y142:Y142)</f>
        <v>7429691846</v>
      </c>
      <c r="Z141" s="65">
        <f t="shared" si="114"/>
        <v>0.94136878167107285</v>
      </c>
    </row>
    <row r="142" spans="1:26" ht="28.5" customHeight="1">
      <c r="A142" s="26" t="e">
        <f>+CONCATENATE(#REF!,"=",J142)</f>
        <v>#REF!</v>
      </c>
      <c r="B142" s="66" t="str">
        <f t="shared" si="104"/>
        <v>C-4103-1500-13-0-4103055-02</v>
      </c>
      <c r="C142" s="67" t="s">
        <v>170</v>
      </c>
      <c r="D142" s="68" t="s">
        <v>174</v>
      </c>
      <c r="E142" s="68" t="s">
        <v>175</v>
      </c>
      <c r="F142" s="68" t="s">
        <v>183</v>
      </c>
      <c r="G142" s="68" t="s">
        <v>178</v>
      </c>
      <c r="H142" s="68" t="s">
        <v>191</v>
      </c>
      <c r="I142" s="69" t="s">
        <v>60</v>
      </c>
      <c r="J142" s="70">
        <v>11</v>
      </c>
      <c r="K142" s="71" t="s">
        <v>37</v>
      </c>
      <c r="L142" s="72" t="s">
        <v>86</v>
      </c>
      <c r="M142" s="73">
        <v>32915742114</v>
      </c>
      <c r="N142" s="73"/>
      <c r="O142" s="73"/>
      <c r="P142" s="73"/>
      <c r="Q142" s="73">
        <f>300000000+24723307193</f>
        <v>25023307193</v>
      </c>
      <c r="R142" s="74">
        <v>0</v>
      </c>
      <c r="S142" s="73">
        <f>+M142-R142+N142-O142+P142-Q142</f>
        <v>7892434921</v>
      </c>
      <c r="T142" s="73">
        <v>7429691846</v>
      </c>
      <c r="U142" s="73">
        <f t="shared" si="112"/>
        <v>462743075</v>
      </c>
      <c r="V142" s="75">
        <f t="shared" si="60"/>
        <v>0.94136878167107285</v>
      </c>
      <c r="W142" s="76">
        <v>7429691846</v>
      </c>
      <c r="X142" s="75">
        <f t="shared" si="113"/>
        <v>0.94136878167107285</v>
      </c>
      <c r="Y142" s="76">
        <v>7429691846</v>
      </c>
      <c r="Z142" s="75">
        <f t="shared" si="114"/>
        <v>0.94136878167107285</v>
      </c>
    </row>
    <row r="143" spans="1:26" ht="54" customHeight="1">
      <c r="A143" s="26" t="e">
        <f>+CONCATENATE(#REF!,"=",J143)</f>
        <v>#REF!</v>
      </c>
      <c r="B143" s="51" t="str">
        <f>CONCATENATE(C143,"-",D143,"-",E143,"-",F143)</f>
        <v>C-4103-1500-14</v>
      </c>
      <c r="C143" s="52" t="s">
        <v>170</v>
      </c>
      <c r="D143" s="53" t="s">
        <v>174</v>
      </c>
      <c r="E143" s="53" t="s">
        <v>175</v>
      </c>
      <c r="F143" s="53" t="s">
        <v>193</v>
      </c>
      <c r="G143" s="53"/>
      <c r="H143" s="53"/>
      <c r="I143" s="54"/>
      <c r="J143" s="55"/>
      <c r="K143" s="55"/>
      <c r="L143" s="51" t="s">
        <v>194</v>
      </c>
      <c r="M143" s="56">
        <f>+M144+M147</f>
        <v>947599205073</v>
      </c>
      <c r="N143" s="56">
        <f t="shared" ref="N143:Y143" si="120">+N144+N147</f>
        <v>0</v>
      </c>
      <c r="O143" s="56">
        <f t="shared" si="120"/>
        <v>0</v>
      </c>
      <c r="P143" s="56">
        <f t="shared" si="120"/>
        <v>2004524145</v>
      </c>
      <c r="Q143" s="56">
        <f t="shared" si="120"/>
        <v>58652358174</v>
      </c>
      <c r="R143" s="56">
        <f t="shared" si="120"/>
        <v>0</v>
      </c>
      <c r="S143" s="56">
        <f t="shared" si="120"/>
        <v>890951371044</v>
      </c>
      <c r="T143" s="56">
        <f t="shared" si="120"/>
        <v>361696411058.46002</v>
      </c>
      <c r="U143" s="56">
        <f t="shared" si="120"/>
        <v>529254959985.53998</v>
      </c>
      <c r="V143" s="57">
        <f t="shared" si="60"/>
        <v>0.40596650144286889</v>
      </c>
      <c r="W143" s="58">
        <f t="shared" si="120"/>
        <v>210852601187.48001</v>
      </c>
      <c r="X143" s="57">
        <f t="shared" si="113"/>
        <v>0.2366600558012576</v>
      </c>
      <c r="Y143" s="58">
        <f t="shared" si="120"/>
        <v>208530529203.08002</v>
      </c>
      <c r="Z143" s="57">
        <f t="shared" si="114"/>
        <v>0.23405377215899884</v>
      </c>
    </row>
    <row r="144" spans="1:26" ht="28.5" customHeight="1">
      <c r="A144" s="26" t="e">
        <f>+CONCATENATE(#REF!,"=",J144)</f>
        <v>#REF!</v>
      </c>
      <c r="B144" s="59" t="str">
        <f>CONCATENATE(C144,"-",D144,"-",E144,"-",F144,"-",G144,"-",H144)</f>
        <v>C-4103-1500-14-0-4103016</v>
      </c>
      <c r="C144" s="60" t="s">
        <v>170</v>
      </c>
      <c r="D144" s="61" t="s">
        <v>174</v>
      </c>
      <c r="E144" s="61" t="s">
        <v>175</v>
      </c>
      <c r="F144" s="61" t="s">
        <v>193</v>
      </c>
      <c r="G144" s="61" t="s">
        <v>178</v>
      </c>
      <c r="H144" s="61" t="s">
        <v>195</v>
      </c>
      <c r="I144" s="62"/>
      <c r="J144" s="63"/>
      <c r="K144" s="63"/>
      <c r="L144" s="59" t="s">
        <v>196</v>
      </c>
      <c r="M144" s="64">
        <f>SUM(M145:M146)</f>
        <v>918263049313</v>
      </c>
      <c r="N144" s="64">
        <f t="shared" ref="N144:U144" si="121">SUM(N145:N146)</f>
        <v>0</v>
      </c>
      <c r="O144" s="64">
        <f t="shared" si="121"/>
        <v>0</v>
      </c>
      <c r="P144" s="64">
        <f t="shared" si="121"/>
        <v>0</v>
      </c>
      <c r="Q144" s="64">
        <f t="shared" si="121"/>
        <v>58652358174</v>
      </c>
      <c r="R144" s="64">
        <f t="shared" si="121"/>
        <v>0</v>
      </c>
      <c r="S144" s="64">
        <f t="shared" si="121"/>
        <v>859610691139</v>
      </c>
      <c r="T144" s="64">
        <f t="shared" si="121"/>
        <v>345214635450.53003</v>
      </c>
      <c r="U144" s="64">
        <f t="shared" si="121"/>
        <v>514396055688.46997</v>
      </c>
      <c r="V144" s="65">
        <f t="shared" si="60"/>
        <v>0.40159416234471712</v>
      </c>
      <c r="W144" s="64">
        <f t="shared" ref="W144" si="122">SUM(W145:W146)</f>
        <v>195383567900.28</v>
      </c>
      <c r="X144" s="65">
        <f t="shared" si="113"/>
        <v>0.22729308734096032</v>
      </c>
      <c r="Y144" s="64">
        <f t="shared" ref="Y144" si="123">SUM(Y145:Y146)</f>
        <v>193068165915.88</v>
      </c>
      <c r="Z144" s="65">
        <f t="shared" si="114"/>
        <v>0.22459954012444996</v>
      </c>
    </row>
    <row r="145" spans="1:26" ht="28.5" customHeight="1">
      <c r="A145" s="26" t="e">
        <f>+CONCATENATE(#REF!,"=",J145)</f>
        <v>#REF!</v>
      </c>
      <c r="B145" s="66" t="str">
        <f t="shared" ref="B145:B146" si="124">CONCATENATE(C145,"-",D145,"-",E145,"-",F145,"-",G145,"-",H145,"-",I145)</f>
        <v>C-4103-1500-14-0-4103016-02</v>
      </c>
      <c r="C145" s="67" t="s">
        <v>170</v>
      </c>
      <c r="D145" s="68" t="s">
        <v>174</v>
      </c>
      <c r="E145" s="68" t="s">
        <v>175</v>
      </c>
      <c r="F145" s="68" t="s">
        <v>193</v>
      </c>
      <c r="G145" s="68" t="s">
        <v>178</v>
      </c>
      <c r="H145" s="68" t="s">
        <v>195</v>
      </c>
      <c r="I145" s="69" t="s">
        <v>60</v>
      </c>
      <c r="J145" s="70">
        <v>11</v>
      </c>
      <c r="K145" s="71" t="s">
        <v>37</v>
      </c>
      <c r="L145" s="72" t="s">
        <v>86</v>
      </c>
      <c r="M145" s="73">
        <v>101740918684</v>
      </c>
      <c r="N145" s="73"/>
      <c r="O145" s="73"/>
      <c r="P145" s="73"/>
      <c r="Q145" s="77"/>
      <c r="R145" s="74">
        <v>0</v>
      </c>
      <c r="S145" s="90">
        <f>+M145-R145+N145-O145+P145-Q145</f>
        <v>101740918684</v>
      </c>
      <c r="T145" s="73">
        <v>57234434567.389999</v>
      </c>
      <c r="U145" s="73">
        <f t="shared" ref="U145" si="125">+S145-T145</f>
        <v>44506484116.610001</v>
      </c>
      <c r="V145" s="75">
        <f t="shared" si="60"/>
        <v>0.5625507937976858</v>
      </c>
      <c r="W145" s="76">
        <v>22349737767.240002</v>
      </c>
      <c r="X145" s="75">
        <f t="shared" si="113"/>
        <v>0.21967304852688313</v>
      </c>
      <c r="Y145" s="76">
        <v>22072912539.240002</v>
      </c>
      <c r="Z145" s="75">
        <f t="shared" si="114"/>
        <v>0.21695216462313344</v>
      </c>
    </row>
    <row r="146" spans="1:26" ht="28.5" customHeight="1">
      <c r="A146" s="26" t="e">
        <f>+CONCATENATE(#REF!,"=",J146)</f>
        <v>#REF!</v>
      </c>
      <c r="B146" s="66" t="str">
        <f t="shared" si="124"/>
        <v>C-4103-1500-14-0-4103016-03</v>
      </c>
      <c r="C146" s="67" t="s">
        <v>170</v>
      </c>
      <c r="D146" s="68" t="s">
        <v>174</v>
      </c>
      <c r="E146" s="68" t="s">
        <v>175</v>
      </c>
      <c r="F146" s="68" t="s">
        <v>193</v>
      </c>
      <c r="G146" s="68" t="s">
        <v>178</v>
      </c>
      <c r="H146" s="68" t="s">
        <v>195</v>
      </c>
      <c r="I146" s="69" t="s">
        <v>71</v>
      </c>
      <c r="J146" s="70">
        <v>11</v>
      </c>
      <c r="K146" s="71" t="s">
        <v>37</v>
      </c>
      <c r="L146" s="72" t="s">
        <v>134</v>
      </c>
      <c r="M146" s="73">
        <v>816522130629</v>
      </c>
      <c r="N146" s="73"/>
      <c r="O146" s="73"/>
      <c r="P146" s="73"/>
      <c r="Q146" s="77">
        <f>2004524145+56647834029</f>
        <v>58652358174</v>
      </c>
      <c r="R146" s="74">
        <v>0</v>
      </c>
      <c r="S146" s="90">
        <f>+M146-R146+N146-O146+P146-Q146</f>
        <v>757869772455</v>
      </c>
      <c r="T146" s="73">
        <v>287980200883.14001</v>
      </c>
      <c r="U146" s="73">
        <f t="shared" si="112"/>
        <v>469889571571.85999</v>
      </c>
      <c r="V146" s="75">
        <f t="shared" si="60"/>
        <v>0.37998639258335032</v>
      </c>
      <c r="W146" s="76">
        <v>173033830133.04001</v>
      </c>
      <c r="X146" s="75">
        <f t="shared" si="113"/>
        <v>0.22831604640006173</v>
      </c>
      <c r="Y146" s="76">
        <v>170995253376.64001</v>
      </c>
      <c r="Z146" s="75">
        <f t="shared" si="114"/>
        <v>0.2256261690220574</v>
      </c>
    </row>
    <row r="147" spans="1:26" ht="28.5" customHeight="1">
      <c r="A147" s="26" t="e">
        <f>+CONCATENATE(#REF!,"=",J147)</f>
        <v>#REF!</v>
      </c>
      <c r="B147" s="59" t="str">
        <f>CONCATENATE(C147,"-",D147,"-",E147,"-",F147,"-",G147,"-",H147)</f>
        <v>C-4103-1500-14-0-4103048</v>
      </c>
      <c r="C147" s="60" t="s">
        <v>170</v>
      </c>
      <c r="D147" s="61" t="s">
        <v>174</v>
      </c>
      <c r="E147" s="61" t="s">
        <v>175</v>
      </c>
      <c r="F147" s="61" t="s">
        <v>193</v>
      </c>
      <c r="G147" s="61" t="s">
        <v>178</v>
      </c>
      <c r="H147" s="61" t="s">
        <v>197</v>
      </c>
      <c r="I147" s="62"/>
      <c r="J147" s="63"/>
      <c r="K147" s="63" t="s">
        <v>37</v>
      </c>
      <c r="L147" s="59" t="s">
        <v>198</v>
      </c>
      <c r="M147" s="64">
        <f t="shared" ref="M147:U147" si="126">SUM(M148:M148)</f>
        <v>29336155760</v>
      </c>
      <c r="N147" s="64">
        <f t="shared" si="126"/>
        <v>0</v>
      </c>
      <c r="O147" s="64">
        <f t="shared" si="126"/>
        <v>0</v>
      </c>
      <c r="P147" s="64">
        <f t="shared" si="126"/>
        <v>2004524145</v>
      </c>
      <c r="Q147" s="64">
        <f t="shared" si="126"/>
        <v>0</v>
      </c>
      <c r="R147" s="64">
        <f t="shared" si="126"/>
        <v>0</v>
      </c>
      <c r="S147" s="64">
        <f t="shared" si="126"/>
        <v>31340679905</v>
      </c>
      <c r="T147" s="64">
        <f t="shared" si="126"/>
        <v>16481775607.93</v>
      </c>
      <c r="U147" s="64">
        <f t="shared" si="126"/>
        <v>14858904297.07</v>
      </c>
      <c r="V147" s="65">
        <f t="shared" si="60"/>
        <v>0.52589081212946331</v>
      </c>
      <c r="W147" s="64">
        <f>SUM(W148:W148)</f>
        <v>15469033287.200001</v>
      </c>
      <c r="X147" s="65">
        <f t="shared" si="113"/>
        <v>0.49357682520257373</v>
      </c>
      <c r="Y147" s="64">
        <f>SUM(Y148:Y148)</f>
        <v>15462363287.200001</v>
      </c>
      <c r="Z147" s="65">
        <f t="shared" si="114"/>
        <v>0.49336400276157316</v>
      </c>
    </row>
    <row r="148" spans="1:26" ht="28.5" customHeight="1">
      <c r="A148" s="26" t="e">
        <f>+CONCATENATE(#REF!,"=",J148)</f>
        <v>#REF!</v>
      </c>
      <c r="B148" s="66" t="str">
        <f t="shared" ref="B148" si="127">CONCATENATE(C148,"-",D148,"-",E148,"-",F148,"-",G148,"-",H148,"-",I148)</f>
        <v>C-4103-1500-14-0-4103048-02</v>
      </c>
      <c r="C148" s="67" t="s">
        <v>170</v>
      </c>
      <c r="D148" s="68" t="s">
        <v>174</v>
      </c>
      <c r="E148" s="68" t="s">
        <v>175</v>
      </c>
      <c r="F148" s="68" t="s">
        <v>193</v>
      </c>
      <c r="G148" s="68" t="s">
        <v>178</v>
      </c>
      <c r="H148" s="68" t="s">
        <v>197</v>
      </c>
      <c r="I148" s="69" t="s">
        <v>60</v>
      </c>
      <c r="J148" s="70">
        <v>11</v>
      </c>
      <c r="K148" s="71" t="s">
        <v>37</v>
      </c>
      <c r="L148" s="72" t="s">
        <v>86</v>
      </c>
      <c r="M148" s="73">
        <v>29336155760</v>
      </c>
      <c r="N148" s="73"/>
      <c r="O148" s="73"/>
      <c r="P148" s="90">
        <f>2004524145</f>
        <v>2004524145</v>
      </c>
      <c r="Q148" s="74"/>
      <c r="R148" s="74">
        <v>0</v>
      </c>
      <c r="S148" s="90">
        <f>+M148-R148+N148-O148+P148-Q148</f>
        <v>31340679905</v>
      </c>
      <c r="T148" s="73">
        <v>16481775607.93</v>
      </c>
      <c r="U148" s="73">
        <f t="shared" ref="U148" si="128">+S148-T148</f>
        <v>14858904297.07</v>
      </c>
      <c r="V148" s="75">
        <f t="shared" si="60"/>
        <v>0.52589081212946331</v>
      </c>
      <c r="W148" s="76">
        <v>15469033287.200001</v>
      </c>
      <c r="X148" s="75">
        <f t="shared" si="113"/>
        <v>0.49357682520257373</v>
      </c>
      <c r="Y148" s="76">
        <v>15462363287.200001</v>
      </c>
      <c r="Z148" s="75">
        <f t="shared" si="114"/>
        <v>0.49336400276157316</v>
      </c>
    </row>
    <row r="149" spans="1:26" ht="31.5" customHeight="1">
      <c r="A149" s="26" t="e">
        <f>+CONCATENATE(#REF!,"=",J149)</f>
        <v>#REF!</v>
      </c>
      <c r="B149" s="51" t="str">
        <f>CONCATENATE(C149,"-",D149,"-",E149,"-",F149)</f>
        <v>C-4103-1500-16</v>
      </c>
      <c r="C149" s="52" t="s">
        <v>170</v>
      </c>
      <c r="D149" s="53" t="s">
        <v>174</v>
      </c>
      <c r="E149" s="53" t="s">
        <v>175</v>
      </c>
      <c r="F149" s="53" t="s">
        <v>199</v>
      </c>
      <c r="G149" s="53"/>
      <c r="H149" s="53"/>
      <c r="I149" s="54"/>
      <c r="J149" s="55"/>
      <c r="K149" s="55"/>
      <c r="L149" s="51" t="s">
        <v>200</v>
      </c>
      <c r="M149" s="56">
        <f>+M150+M152</f>
        <v>500000000</v>
      </c>
      <c r="N149" s="56">
        <f t="shared" ref="N149:U149" si="129">+N150+N152</f>
        <v>0</v>
      </c>
      <c r="O149" s="56">
        <f t="shared" si="129"/>
        <v>0</v>
      </c>
      <c r="P149" s="56">
        <f t="shared" si="129"/>
        <v>0</v>
      </c>
      <c r="Q149" s="56">
        <f t="shared" si="129"/>
        <v>0</v>
      </c>
      <c r="R149" s="56">
        <f t="shared" si="129"/>
        <v>0</v>
      </c>
      <c r="S149" s="56">
        <f t="shared" si="129"/>
        <v>500000000</v>
      </c>
      <c r="T149" s="56">
        <f t="shared" si="129"/>
        <v>0</v>
      </c>
      <c r="U149" s="56">
        <f t="shared" si="129"/>
        <v>500000000</v>
      </c>
      <c r="V149" s="57">
        <f t="shared" si="60"/>
        <v>0</v>
      </c>
      <c r="W149" s="58">
        <f t="shared" ref="W149:Y149" si="130">+W150+W152</f>
        <v>0</v>
      </c>
      <c r="X149" s="57">
        <f t="shared" si="113"/>
        <v>0</v>
      </c>
      <c r="Y149" s="58">
        <f t="shared" si="130"/>
        <v>0</v>
      </c>
      <c r="Z149" s="57">
        <f t="shared" si="114"/>
        <v>0</v>
      </c>
    </row>
    <row r="150" spans="1:26" ht="28.5" customHeight="1">
      <c r="A150" s="26" t="e">
        <f>+CONCATENATE(#REF!,"=",J150)</f>
        <v>#REF!</v>
      </c>
      <c r="B150" s="59" t="str">
        <f>CONCATENATE(C150,"-",D150,"-",E150,"-",F150,"-",G150,"-",H150)</f>
        <v>C-4103-1500-16-0-4103056</v>
      </c>
      <c r="C150" s="60" t="s">
        <v>170</v>
      </c>
      <c r="D150" s="61" t="s">
        <v>174</v>
      </c>
      <c r="E150" s="61" t="s">
        <v>175</v>
      </c>
      <c r="F150" s="61" t="s">
        <v>199</v>
      </c>
      <c r="G150" s="61" t="s">
        <v>178</v>
      </c>
      <c r="H150" s="61" t="s">
        <v>201</v>
      </c>
      <c r="I150" s="62"/>
      <c r="J150" s="63"/>
      <c r="K150" s="63" t="s">
        <v>37</v>
      </c>
      <c r="L150" s="59" t="s">
        <v>202</v>
      </c>
      <c r="M150" s="64">
        <f>+M151</f>
        <v>410000000</v>
      </c>
      <c r="N150" s="64">
        <f t="shared" ref="N150:Y150" si="131">+N151</f>
        <v>0</v>
      </c>
      <c r="O150" s="64">
        <f t="shared" si="131"/>
        <v>0</v>
      </c>
      <c r="P150" s="64">
        <f t="shared" si="131"/>
        <v>0</v>
      </c>
      <c r="Q150" s="64">
        <f t="shared" si="131"/>
        <v>0</v>
      </c>
      <c r="R150" s="64">
        <f t="shared" si="131"/>
        <v>0</v>
      </c>
      <c r="S150" s="64">
        <f t="shared" si="131"/>
        <v>410000000</v>
      </c>
      <c r="T150" s="64">
        <f t="shared" si="131"/>
        <v>0</v>
      </c>
      <c r="U150" s="64">
        <f t="shared" si="131"/>
        <v>410000000</v>
      </c>
      <c r="V150" s="65">
        <f t="shared" si="60"/>
        <v>0</v>
      </c>
      <c r="W150" s="64">
        <f t="shared" si="131"/>
        <v>0</v>
      </c>
      <c r="X150" s="65">
        <f t="shared" si="113"/>
        <v>0</v>
      </c>
      <c r="Y150" s="64">
        <f t="shared" si="131"/>
        <v>0</v>
      </c>
      <c r="Z150" s="65">
        <f t="shared" si="114"/>
        <v>0</v>
      </c>
    </row>
    <row r="151" spans="1:26" ht="28.5" customHeight="1">
      <c r="A151" s="26" t="e">
        <f>+CONCATENATE(#REF!,"=",J151)</f>
        <v>#REF!</v>
      </c>
      <c r="B151" s="66" t="str">
        <f t="shared" ref="B151:B153" si="132">CONCATENATE(C151,"-",D151,"-",E151,"-",F151,"-",G151,"-",H151,"-",I151)</f>
        <v>C-4103-1500-16-0-4103056-02</v>
      </c>
      <c r="C151" s="67" t="s">
        <v>170</v>
      </c>
      <c r="D151" s="68" t="s">
        <v>174</v>
      </c>
      <c r="E151" s="68" t="s">
        <v>175</v>
      </c>
      <c r="F151" s="68" t="s">
        <v>199</v>
      </c>
      <c r="G151" s="68" t="s">
        <v>178</v>
      </c>
      <c r="H151" s="68" t="s">
        <v>201</v>
      </c>
      <c r="I151" s="69" t="s">
        <v>60</v>
      </c>
      <c r="J151" s="70">
        <v>11</v>
      </c>
      <c r="K151" s="71" t="s">
        <v>37</v>
      </c>
      <c r="L151" s="72" t="s">
        <v>86</v>
      </c>
      <c r="M151" s="73">
        <v>410000000</v>
      </c>
      <c r="N151" s="73"/>
      <c r="O151" s="73"/>
      <c r="P151" s="74"/>
      <c r="Q151" s="74"/>
      <c r="R151" s="74">
        <v>0</v>
      </c>
      <c r="S151" s="73">
        <f>+M151-R151+N151-O151+P151-Q151</f>
        <v>410000000</v>
      </c>
      <c r="T151" s="73">
        <v>0</v>
      </c>
      <c r="U151" s="73">
        <f t="shared" si="112"/>
        <v>410000000</v>
      </c>
      <c r="V151" s="75">
        <f t="shared" ref="V151:V242" si="133">+IF(S151&gt;0,T151/S151,0)</f>
        <v>0</v>
      </c>
      <c r="W151" s="76">
        <v>0</v>
      </c>
      <c r="X151" s="75">
        <f t="shared" si="113"/>
        <v>0</v>
      </c>
      <c r="Y151" s="76">
        <v>0</v>
      </c>
      <c r="Z151" s="75">
        <f t="shared" si="114"/>
        <v>0</v>
      </c>
    </row>
    <row r="152" spans="1:26" ht="28.5" customHeight="1">
      <c r="A152" s="26" t="e">
        <f>+CONCATENATE(#REF!,"=",J152)</f>
        <v>#REF!</v>
      </c>
      <c r="B152" s="59" t="str">
        <f>CONCATENATE(C152,"-",D152,"-",E152,"-",F152,"-",G152,"-",H152)</f>
        <v>C-4103-1500-16-0-4103060</v>
      </c>
      <c r="C152" s="60" t="s">
        <v>170</v>
      </c>
      <c r="D152" s="61" t="s">
        <v>174</v>
      </c>
      <c r="E152" s="61" t="s">
        <v>175</v>
      </c>
      <c r="F152" s="61" t="s">
        <v>199</v>
      </c>
      <c r="G152" s="61" t="s">
        <v>178</v>
      </c>
      <c r="H152" s="61" t="s">
        <v>203</v>
      </c>
      <c r="I152" s="62"/>
      <c r="J152" s="63"/>
      <c r="K152" s="63" t="s">
        <v>37</v>
      </c>
      <c r="L152" s="59" t="s">
        <v>204</v>
      </c>
      <c r="M152" s="64">
        <f>+M153</f>
        <v>90000000</v>
      </c>
      <c r="N152" s="64">
        <f t="shared" ref="N152:Y152" si="134">+N153</f>
        <v>0</v>
      </c>
      <c r="O152" s="64">
        <f t="shared" si="134"/>
        <v>0</v>
      </c>
      <c r="P152" s="64">
        <f t="shared" si="134"/>
        <v>0</v>
      </c>
      <c r="Q152" s="64">
        <f t="shared" si="134"/>
        <v>0</v>
      </c>
      <c r="R152" s="64">
        <f t="shared" si="134"/>
        <v>0</v>
      </c>
      <c r="S152" s="64">
        <f t="shared" si="134"/>
        <v>90000000</v>
      </c>
      <c r="T152" s="64">
        <f t="shared" si="134"/>
        <v>0</v>
      </c>
      <c r="U152" s="64">
        <f t="shared" si="134"/>
        <v>90000000</v>
      </c>
      <c r="V152" s="65">
        <f t="shared" si="133"/>
        <v>0</v>
      </c>
      <c r="W152" s="64">
        <f t="shared" si="134"/>
        <v>0</v>
      </c>
      <c r="X152" s="65">
        <f t="shared" si="113"/>
        <v>0</v>
      </c>
      <c r="Y152" s="64">
        <f t="shared" si="134"/>
        <v>0</v>
      </c>
      <c r="Z152" s="65">
        <f t="shared" si="114"/>
        <v>0</v>
      </c>
    </row>
    <row r="153" spans="1:26" ht="28.5" customHeight="1">
      <c r="A153" s="26" t="e">
        <f>+CONCATENATE(#REF!,"=",J153)</f>
        <v>#REF!</v>
      </c>
      <c r="B153" s="66" t="str">
        <f t="shared" si="132"/>
        <v>C-4103-1500-16-0-4103060-02</v>
      </c>
      <c r="C153" s="67" t="s">
        <v>170</v>
      </c>
      <c r="D153" s="68" t="s">
        <v>174</v>
      </c>
      <c r="E153" s="68" t="s">
        <v>175</v>
      </c>
      <c r="F153" s="68" t="s">
        <v>199</v>
      </c>
      <c r="G153" s="68" t="s">
        <v>178</v>
      </c>
      <c r="H153" s="68" t="s">
        <v>203</v>
      </c>
      <c r="I153" s="69" t="s">
        <v>60</v>
      </c>
      <c r="J153" s="70">
        <v>11</v>
      </c>
      <c r="K153" s="71" t="s">
        <v>37</v>
      </c>
      <c r="L153" s="72" t="s">
        <v>86</v>
      </c>
      <c r="M153" s="73">
        <v>90000000</v>
      </c>
      <c r="N153" s="73"/>
      <c r="O153" s="73"/>
      <c r="P153" s="74"/>
      <c r="Q153" s="74"/>
      <c r="R153" s="74">
        <v>0</v>
      </c>
      <c r="S153" s="73">
        <f>+M153-R153+N153-O153+P153-Q153</f>
        <v>90000000</v>
      </c>
      <c r="T153" s="73">
        <v>0</v>
      </c>
      <c r="U153" s="73">
        <f t="shared" si="112"/>
        <v>90000000</v>
      </c>
      <c r="V153" s="75">
        <f t="shared" si="133"/>
        <v>0</v>
      </c>
      <c r="W153" s="76">
        <v>0</v>
      </c>
      <c r="X153" s="75">
        <f t="shared" si="113"/>
        <v>0</v>
      </c>
      <c r="Y153" s="76">
        <v>0</v>
      </c>
      <c r="Z153" s="75">
        <f t="shared" si="114"/>
        <v>0</v>
      </c>
    </row>
    <row r="154" spans="1:26" ht="36.75" customHeight="1">
      <c r="A154" s="26" t="e">
        <f>+CONCATENATE(#REF!,"=",J154)</f>
        <v>#REF!</v>
      </c>
      <c r="B154" s="51" t="str">
        <f>CONCATENATE(C154,"-",D154,"-",E154,"-",F154)</f>
        <v>C-4103-1500-17</v>
      </c>
      <c r="C154" s="52" t="s">
        <v>170</v>
      </c>
      <c r="D154" s="53" t="s">
        <v>174</v>
      </c>
      <c r="E154" s="53" t="s">
        <v>175</v>
      </c>
      <c r="F154" s="53" t="s">
        <v>205</v>
      </c>
      <c r="G154" s="53"/>
      <c r="H154" s="53"/>
      <c r="I154" s="54"/>
      <c r="J154" s="55"/>
      <c r="K154" s="55"/>
      <c r="L154" s="51" t="s">
        <v>206</v>
      </c>
      <c r="M154" s="56">
        <f>+M157+M155</f>
        <v>18000000000</v>
      </c>
      <c r="N154" s="56">
        <f t="shared" ref="N154:U154" si="135">+N157+N155</f>
        <v>0</v>
      </c>
      <c r="O154" s="56">
        <f t="shared" si="135"/>
        <v>0</v>
      </c>
      <c r="P154" s="56">
        <f t="shared" si="135"/>
        <v>0</v>
      </c>
      <c r="Q154" s="56">
        <f t="shared" si="135"/>
        <v>6127461358</v>
      </c>
      <c r="R154" s="56">
        <f t="shared" si="135"/>
        <v>0</v>
      </c>
      <c r="S154" s="56">
        <f t="shared" si="135"/>
        <v>11872538642</v>
      </c>
      <c r="T154" s="56">
        <f t="shared" si="135"/>
        <v>9525073460.4400005</v>
      </c>
      <c r="U154" s="56">
        <f t="shared" si="135"/>
        <v>2347465181.5599999</v>
      </c>
      <c r="V154" s="57">
        <f t="shared" si="133"/>
        <v>0.80227773921445367</v>
      </c>
      <c r="W154" s="58">
        <f t="shared" ref="W154" si="136">+W157+W155</f>
        <v>5991755043.3299999</v>
      </c>
      <c r="X154" s="57">
        <f t="shared" si="113"/>
        <v>0.5046734505570456</v>
      </c>
      <c r="Y154" s="58">
        <f t="shared" ref="Y154" si="137">+Y157+Y155</f>
        <v>5991755043.3299999</v>
      </c>
      <c r="Z154" s="57">
        <f t="shared" si="114"/>
        <v>0.5046734505570456</v>
      </c>
    </row>
    <row r="155" spans="1:26" ht="28.5" customHeight="1">
      <c r="A155" s="26" t="e">
        <f>+CONCATENATE(#REF!,"=",J155)</f>
        <v>#REF!</v>
      </c>
      <c r="B155" s="59" t="str">
        <f>CONCATENATE(C155,"-",D155,"-",E155,"-",F155,"-",G155,"-",H155)</f>
        <v>C-4103-1500-17-0-4103005</v>
      </c>
      <c r="C155" s="60" t="s">
        <v>170</v>
      </c>
      <c r="D155" s="61" t="s">
        <v>174</v>
      </c>
      <c r="E155" s="61" t="s">
        <v>175</v>
      </c>
      <c r="F155" s="61" t="s">
        <v>205</v>
      </c>
      <c r="G155" s="61" t="s">
        <v>178</v>
      </c>
      <c r="H155" s="61" t="s">
        <v>207</v>
      </c>
      <c r="I155" s="62"/>
      <c r="J155" s="63"/>
      <c r="K155" s="63" t="s">
        <v>37</v>
      </c>
      <c r="L155" s="59" t="s">
        <v>208</v>
      </c>
      <c r="M155" s="64">
        <f>M156</f>
        <v>3388943635</v>
      </c>
      <c r="N155" s="64">
        <f t="shared" ref="N155:Y155" si="138">N156</f>
        <v>0</v>
      </c>
      <c r="O155" s="64">
        <f t="shared" si="138"/>
        <v>0</v>
      </c>
      <c r="P155" s="64">
        <f t="shared" si="138"/>
        <v>0</v>
      </c>
      <c r="Q155" s="64">
        <f t="shared" si="138"/>
        <v>0</v>
      </c>
      <c r="R155" s="64">
        <f t="shared" si="138"/>
        <v>0</v>
      </c>
      <c r="S155" s="64">
        <f t="shared" si="138"/>
        <v>3388943635</v>
      </c>
      <c r="T155" s="64">
        <f t="shared" si="138"/>
        <v>2590930853.4400001</v>
      </c>
      <c r="U155" s="64">
        <f t="shared" si="138"/>
        <v>798012781.55999994</v>
      </c>
      <c r="V155" s="65">
        <f t="shared" si="133"/>
        <v>0.76452462256428178</v>
      </c>
      <c r="W155" s="64">
        <f t="shared" si="138"/>
        <v>2483371666.3299999</v>
      </c>
      <c r="X155" s="65">
        <f t="shared" si="113"/>
        <v>0.73278635875866371</v>
      </c>
      <c r="Y155" s="64">
        <f t="shared" si="138"/>
        <v>2483371666.3299999</v>
      </c>
      <c r="Z155" s="65">
        <f t="shared" si="114"/>
        <v>0.73278635875866371</v>
      </c>
    </row>
    <row r="156" spans="1:26" ht="28.5" customHeight="1">
      <c r="A156" s="26" t="e">
        <f>+CONCATENATE(#REF!,"=",J156)</f>
        <v>#REF!</v>
      </c>
      <c r="B156" s="66" t="str">
        <f t="shared" ref="B156:B158" si="139">CONCATENATE(C156,"-",D156,"-",E156,"-",F156,"-",G156,"-",H156,"-",I156)</f>
        <v>C-4103-1500-17-0-4103005-02</v>
      </c>
      <c r="C156" s="67" t="s">
        <v>170</v>
      </c>
      <c r="D156" s="68" t="s">
        <v>174</v>
      </c>
      <c r="E156" s="68" t="s">
        <v>175</v>
      </c>
      <c r="F156" s="68" t="s">
        <v>205</v>
      </c>
      <c r="G156" s="68" t="s">
        <v>178</v>
      </c>
      <c r="H156" s="68" t="s">
        <v>207</v>
      </c>
      <c r="I156" s="69" t="s">
        <v>60</v>
      </c>
      <c r="J156" s="70">
        <v>11</v>
      </c>
      <c r="K156" s="71" t="s">
        <v>37</v>
      </c>
      <c r="L156" s="72" t="s">
        <v>86</v>
      </c>
      <c r="M156" s="73">
        <v>3388943635</v>
      </c>
      <c r="N156" s="73"/>
      <c r="O156" s="73"/>
      <c r="P156" s="73"/>
      <c r="Q156" s="74"/>
      <c r="R156" s="74">
        <v>0</v>
      </c>
      <c r="S156" s="73">
        <f>+M156-R156+N156-O156+P156-Q156</f>
        <v>3388943635</v>
      </c>
      <c r="T156" s="73">
        <v>2590930853.4400001</v>
      </c>
      <c r="U156" s="73">
        <f>+S156-T156</f>
        <v>798012781.55999994</v>
      </c>
      <c r="V156" s="75">
        <f t="shared" si="133"/>
        <v>0.76452462256428178</v>
      </c>
      <c r="W156" s="76">
        <v>2483371666.3299999</v>
      </c>
      <c r="X156" s="75">
        <f t="shared" si="113"/>
        <v>0.73278635875866371</v>
      </c>
      <c r="Y156" s="76">
        <v>2483371666.3299999</v>
      </c>
      <c r="Z156" s="75">
        <f t="shared" si="114"/>
        <v>0.73278635875866371</v>
      </c>
    </row>
    <row r="157" spans="1:26" ht="28.5" customHeight="1">
      <c r="A157" s="26" t="e">
        <f>+CONCATENATE(#REF!,"=",J157)</f>
        <v>#REF!</v>
      </c>
      <c r="B157" s="59" t="str">
        <f>CONCATENATE(C157,"-",D157,"-",E157,"-",F157,"-",G157,"-",H157)</f>
        <v>C-4103-1500-17-0-4103057</v>
      </c>
      <c r="C157" s="60" t="s">
        <v>170</v>
      </c>
      <c r="D157" s="61" t="s">
        <v>174</v>
      </c>
      <c r="E157" s="61" t="s">
        <v>175</v>
      </c>
      <c r="F157" s="61" t="s">
        <v>205</v>
      </c>
      <c r="G157" s="61" t="s">
        <v>178</v>
      </c>
      <c r="H157" s="61" t="s">
        <v>209</v>
      </c>
      <c r="I157" s="62"/>
      <c r="J157" s="63"/>
      <c r="K157" s="63" t="s">
        <v>37</v>
      </c>
      <c r="L157" s="59" t="s">
        <v>210</v>
      </c>
      <c r="M157" s="64">
        <f t="shared" ref="M157:U157" si="140">SUM(M158:M158)</f>
        <v>14611056365</v>
      </c>
      <c r="N157" s="64">
        <f t="shared" si="140"/>
        <v>0</v>
      </c>
      <c r="O157" s="64">
        <f t="shared" si="140"/>
        <v>0</v>
      </c>
      <c r="P157" s="64">
        <f t="shared" si="140"/>
        <v>0</v>
      </c>
      <c r="Q157" s="64">
        <f t="shared" si="140"/>
        <v>6127461358</v>
      </c>
      <c r="R157" s="64">
        <f t="shared" si="140"/>
        <v>0</v>
      </c>
      <c r="S157" s="64">
        <f t="shared" si="140"/>
        <v>8483595007</v>
      </c>
      <c r="T157" s="64">
        <f t="shared" si="140"/>
        <v>6934142607</v>
      </c>
      <c r="U157" s="64">
        <f t="shared" si="140"/>
        <v>1549452400</v>
      </c>
      <c r="V157" s="65">
        <f t="shared" si="133"/>
        <v>0.81735898534506746</v>
      </c>
      <c r="W157" s="64">
        <f>SUM(W158:W158)</f>
        <v>3508383377</v>
      </c>
      <c r="X157" s="65">
        <f t="shared" si="113"/>
        <v>0.41354913501942941</v>
      </c>
      <c r="Y157" s="64">
        <f>SUM(Y158:Y158)</f>
        <v>3508383377</v>
      </c>
      <c r="Z157" s="65">
        <f t="shared" si="114"/>
        <v>0.41354913501942941</v>
      </c>
    </row>
    <row r="158" spans="1:26" ht="28.5" customHeight="1">
      <c r="A158" s="26" t="e">
        <f>+CONCATENATE(#REF!,"=",J158)</f>
        <v>#REF!</v>
      </c>
      <c r="B158" s="66" t="str">
        <f t="shared" si="139"/>
        <v>C-4103-1500-17-0-4103057-02</v>
      </c>
      <c r="C158" s="67" t="s">
        <v>170</v>
      </c>
      <c r="D158" s="68" t="s">
        <v>174</v>
      </c>
      <c r="E158" s="68" t="s">
        <v>175</v>
      </c>
      <c r="F158" s="68" t="s">
        <v>205</v>
      </c>
      <c r="G158" s="68" t="s">
        <v>178</v>
      </c>
      <c r="H158" s="68" t="s">
        <v>209</v>
      </c>
      <c r="I158" s="69" t="s">
        <v>60</v>
      </c>
      <c r="J158" s="70">
        <v>11</v>
      </c>
      <c r="K158" s="71" t="s">
        <v>37</v>
      </c>
      <c r="L158" s="72" t="s">
        <v>86</v>
      </c>
      <c r="M158" s="73">
        <v>14611056365</v>
      </c>
      <c r="N158" s="73"/>
      <c r="O158" s="73"/>
      <c r="P158" s="73"/>
      <c r="Q158" s="73">
        <f>6127461358</f>
        <v>6127461358</v>
      </c>
      <c r="R158" s="74">
        <v>0</v>
      </c>
      <c r="S158" s="73">
        <f>+M158-R158+N158-O158+P158-Q158</f>
        <v>8483595007</v>
      </c>
      <c r="T158" s="73">
        <v>6934142607</v>
      </c>
      <c r="U158" s="73">
        <f t="shared" ref="U158" si="141">+S158-T158</f>
        <v>1549452400</v>
      </c>
      <c r="V158" s="75">
        <f t="shared" si="133"/>
        <v>0.81735898534506746</v>
      </c>
      <c r="W158" s="76">
        <v>3508383377</v>
      </c>
      <c r="X158" s="75">
        <f t="shared" si="113"/>
        <v>0.41354913501942941</v>
      </c>
      <c r="Y158" s="76">
        <v>3508383377</v>
      </c>
      <c r="Z158" s="75">
        <f t="shared" si="114"/>
        <v>0.41354913501942941</v>
      </c>
    </row>
    <row r="159" spans="1:26" ht="31.5" customHeight="1">
      <c r="A159" s="26" t="e">
        <f>+CONCATENATE(#REF!,"=",J159)</f>
        <v>#REF!</v>
      </c>
      <c r="B159" s="51" t="str">
        <f>CONCATENATE(C159,"-",D159,"-",E159,"-",F159)</f>
        <v>C-4103-1500-18</v>
      </c>
      <c r="C159" s="52" t="s">
        <v>170</v>
      </c>
      <c r="D159" s="53" t="s">
        <v>174</v>
      </c>
      <c r="E159" s="53" t="s">
        <v>175</v>
      </c>
      <c r="F159" s="53">
        <v>18</v>
      </c>
      <c r="G159" s="53"/>
      <c r="H159" s="53"/>
      <c r="I159" s="54"/>
      <c r="J159" s="55"/>
      <c r="K159" s="55"/>
      <c r="L159" s="51" t="s">
        <v>211</v>
      </c>
      <c r="M159" s="56">
        <f>+M160</f>
        <v>41200000000</v>
      </c>
      <c r="N159" s="56">
        <f t="shared" ref="N159:U159" si="142">+N160</f>
        <v>0</v>
      </c>
      <c r="O159" s="56">
        <f t="shared" si="142"/>
        <v>0</v>
      </c>
      <c r="P159" s="56">
        <f t="shared" si="142"/>
        <v>0</v>
      </c>
      <c r="Q159" s="56">
        <f t="shared" si="142"/>
        <v>0</v>
      </c>
      <c r="R159" s="56">
        <f t="shared" si="142"/>
        <v>0</v>
      </c>
      <c r="S159" s="56">
        <f t="shared" si="142"/>
        <v>41200000000</v>
      </c>
      <c r="T159" s="56">
        <f t="shared" si="142"/>
        <v>35085194083.269997</v>
      </c>
      <c r="U159" s="56">
        <f t="shared" si="142"/>
        <v>6114805916.7300034</v>
      </c>
      <c r="V159" s="57">
        <f t="shared" si="133"/>
        <v>0.85158238066189307</v>
      </c>
      <c r="W159" s="58">
        <f t="shared" ref="W159" si="143">+W160</f>
        <v>25442685814.27</v>
      </c>
      <c r="X159" s="57">
        <f t="shared" si="113"/>
        <v>0.61754091782208742</v>
      </c>
      <c r="Y159" s="58">
        <f t="shared" ref="Y159" si="144">+Y160</f>
        <v>25433685814.27</v>
      </c>
      <c r="Z159" s="57">
        <f t="shared" si="114"/>
        <v>0.61732247122014561</v>
      </c>
    </row>
    <row r="160" spans="1:26" ht="28.5" customHeight="1">
      <c r="A160" s="26" t="e">
        <f>+CONCATENATE(#REF!,"=",J160)</f>
        <v>#REF!</v>
      </c>
      <c r="B160" s="59" t="str">
        <f>CONCATENATE(C160,"-",D160,"-",E160,"-",F160,"-",G160,"-",H160)</f>
        <v>C-4103-1500-18-0-4103050</v>
      </c>
      <c r="C160" s="60" t="s">
        <v>170</v>
      </c>
      <c r="D160" s="61" t="s">
        <v>174</v>
      </c>
      <c r="E160" s="61" t="s">
        <v>175</v>
      </c>
      <c r="F160" s="61">
        <v>18</v>
      </c>
      <c r="G160" s="61" t="s">
        <v>178</v>
      </c>
      <c r="H160" s="61">
        <v>4103050</v>
      </c>
      <c r="I160" s="62"/>
      <c r="J160" s="63"/>
      <c r="K160" s="63" t="s">
        <v>37</v>
      </c>
      <c r="L160" s="59" t="s">
        <v>212</v>
      </c>
      <c r="M160" s="64">
        <f>M161</f>
        <v>41200000000</v>
      </c>
      <c r="N160" s="64">
        <f t="shared" ref="N160:Y160" si="145">N161</f>
        <v>0</v>
      </c>
      <c r="O160" s="64">
        <f t="shared" si="145"/>
        <v>0</v>
      </c>
      <c r="P160" s="64">
        <f t="shared" si="145"/>
        <v>0</v>
      </c>
      <c r="Q160" s="64">
        <f t="shared" si="145"/>
        <v>0</v>
      </c>
      <c r="R160" s="64">
        <f t="shared" si="145"/>
        <v>0</v>
      </c>
      <c r="S160" s="64">
        <f t="shared" si="145"/>
        <v>41200000000</v>
      </c>
      <c r="T160" s="64">
        <f t="shared" si="145"/>
        <v>35085194083.269997</v>
      </c>
      <c r="U160" s="64">
        <f t="shared" si="145"/>
        <v>6114805916.7300034</v>
      </c>
      <c r="V160" s="65">
        <f t="shared" si="133"/>
        <v>0.85158238066189307</v>
      </c>
      <c r="W160" s="64">
        <f t="shared" si="145"/>
        <v>25442685814.27</v>
      </c>
      <c r="X160" s="65">
        <f t="shared" si="113"/>
        <v>0.61754091782208742</v>
      </c>
      <c r="Y160" s="64">
        <f t="shared" si="145"/>
        <v>25433685814.27</v>
      </c>
      <c r="Z160" s="65">
        <f t="shared" si="114"/>
        <v>0.61732247122014561</v>
      </c>
    </row>
    <row r="161" spans="1:26" ht="28.5" customHeight="1">
      <c r="A161" s="26" t="e">
        <f>+CONCATENATE(#REF!,"=",J161)</f>
        <v>#REF!</v>
      </c>
      <c r="B161" s="66" t="str">
        <f t="shared" ref="B161" si="146">CONCATENATE(C161,"-",D161,"-",E161,"-",F161,"-",G161,"-",H161,"-",I161)</f>
        <v>C-4103-1500-18-0-4103050-02</v>
      </c>
      <c r="C161" s="67" t="s">
        <v>170</v>
      </c>
      <c r="D161" s="68" t="s">
        <v>174</v>
      </c>
      <c r="E161" s="68" t="s">
        <v>175</v>
      </c>
      <c r="F161" s="68">
        <v>18</v>
      </c>
      <c r="G161" s="68" t="s">
        <v>178</v>
      </c>
      <c r="H161" s="68">
        <v>4103050</v>
      </c>
      <c r="I161" s="69" t="s">
        <v>60</v>
      </c>
      <c r="J161" s="70">
        <v>11</v>
      </c>
      <c r="K161" s="71" t="s">
        <v>37</v>
      </c>
      <c r="L161" s="72" t="s">
        <v>86</v>
      </c>
      <c r="M161" s="73">
        <v>41200000000</v>
      </c>
      <c r="N161" s="73"/>
      <c r="O161" s="73"/>
      <c r="P161" s="73"/>
      <c r="Q161" s="73">
        <v>0</v>
      </c>
      <c r="R161" s="74">
        <v>0</v>
      </c>
      <c r="S161" s="73">
        <f>+M161-R161+N161-O161+P161-Q161</f>
        <v>41200000000</v>
      </c>
      <c r="T161" s="73">
        <v>35085194083.269997</v>
      </c>
      <c r="U161" s="73">
        <f>+S161-T161</f>
        <v>6114805916.7300034</v>
      </c>
      <c r="V161" s="75">
        <f t="shared" si="133"/>
        <v>0.85158238066189307</v>
      </c>
      <c r="W161" s="76">
        <v>25442685814.27</v>
      </c>
      <c r="X161" s="75">
        <f t="shared" si="113"/>
        <v>0.61754091782208742</v>
      </c>
      <c r="Y161" s="76">
        <v>25433685814.27</v>
      </c>
      <c r="Z161" s="75">
        <f t="shared" si="114"/>
        <v>0.61732247122014561</v>
      </c>
    </row>
    <row r="162" spans="1:26" ht="31.5" customHeight="1">
      <c r="A162" s="26" t="e">
        <f>+CONCATENATE(#REF!,"=",J162)</f>
        <v>#REF!</v>
      </c>
      <c r="B162" s="51" t="str">
        <f>CONCATENATE(C162,"-",D162,"-",E162,"-",F162)</f>
        <v>C-4103-1500-19</v>
      </c>
      <c r="C162" s="52" t="s">
        <v>170</v>
      </c>
      <c r="D162" s="53" t="s">
        <v>174</v>
      </c>
      <c r="E162" s="53" t="s">
        <v>175</v>
      </c>
      <c r="F162" s="53">
        <v>19</v>
      </c>
      <c r="G162" s="53"/>
      <c r="H162" s="53"/>
      <c r="I162" s="54"/>
      <c r="J162" s="55"/>
      <c r="K162" s="55"/>
      <c r="L162" s="51" t="s">
        <v>213</v>
      </c>
      <c r="M162" s="56">
        <f>+M163+M167+M165</f>
        <v>12000000000</v>
      </c>
      <c r="N162" s="56">
        <f t="shared" ref="N162:Y162" si="147">+N163+N167+N165</f>
        <v>0</v>
      </c>
      <c r="O162" s="56">
        <f t="shared" si="147"/>
        <v>0</v>
      </c>
      <c r="P162" s="56">
        <f t="shared" si="147"/>
        <v>0</v>
      </c>
      <c r="Q162" s="56">
        <f t="shared" si="147"/>
        <v>0</v>
      </c>
      <c r="R162" s="56">
        <f t="shared" si="147"/>
        <v>0</v>
      </c>
      <c r="S162" s="56">
        <f t="shared" si="147"/>
        <v>12000000000</v>
      </c>
      <c r="T162" s="56">
        <f t="shared" si="147"/>
        <v>6868694917.5900002</v>
      </c>
      <c r="U162" s="56">
        <f t="shared" si="147"/>
        <v>5131305082.4099998</v>
      </c>
      <c r="V162" s="57">
        <f t="shared" si="133"/>
        <v>0.5723912431325</v>
      </c>
      <c r="W162" s="58">
        <f t="shared" si="147"/>
        <v>6339412027.5900002</v>
      </c>
      <c r="X162" s="57">
        <f t="shared" si="113"/>
        <v>0.52828433563249999</v>
      </c>
      <c r="Y162" s="58">
        <f t="shared" si="147"/>
        <v>6239412027.5900002</v>
      </c>
      <c r="Z162" s="57">
        <f t="shared" si="114"/>
        <v>0.51995100229916669</v>
      </c>
    </row>
    <row r="163" spans="1:26" ht="28.5" customHeight="1">
      <c r="A163" s="26" t="e">
        <f>+CONCATENATE(#REF!,"=",J163)</f>
        <v>#REF!</v>
      </c>
      <c r="B163" s="59" t="str">
        <f>CONCATENATE(C163,"-",D163,"-",E163,"-",F163,"-",G163,"-",H163)</f>
        <v>C-4103-1500-19-0-4103049</v>
      </c>
      <c r="C163" s="60" t="s">
        <v>170</v>
      </c>
      <c r="D163" s="61" t="s">
        <v>174</v>
      </c>
      <c r="E163" s="61" t="s">
        <v>175</v>
      </c>
      <c r="F163" s="61">
        <v>19</v>
      </c>
      <c r="G163" s="61" t="s">
        <v>178</v>
      </c>
      <c r="H163" s="61">
        <v>4103049</v>
      </c>
      <c r="I163" s="62"/>
      <c r="J163" s="63"/>
      <c r="K163" s="63" t="s">
        <v>37</v>
      </c>
      <c r="L163" s="59" t="s">
        <v>214</v>
      </c>
      <c r="M163" s="64">
        <f>M164</f>
        <v>250000000</v>
      </c>
      <c r="N163" s="64">
        <f t="shared" ref="N163:Y167" si="148">N164</f>
        <v>0</v>
      </c>
      <c r="O163" s="64">
        <f t="shared" si="148"/>
        <v>0</v>
      </c>
      <c r="P163" s="64">
        <f t="shared" si="148"/>
        <v>0</v>
      </c>
      <c r="Q163" s="64">
        <f t="shared" si="148"/>
        <v>0</v>
      </c>
      <c r="R163" s="64">
        <f t="shared" si="148"/>
        <v>0</v>
      </c>
      <c r="S163" s="64">
        <f t="shared" si="148"/>
        <v>250000000</v>
      </c>
      <c r="T163" s="64">
        <f t="shared" si="148"/>
        <v>19333334</v>
      </c>
      <c r="U163" s="64">
        <f t="shared" si="148"/>
        <v>230666666</v>
      </c>
      <c r="V163" s="65">
        <f t="shared" si="133"/>
        <v>7.7333336000000003E-2</v>
      </c>
      <c r="W163" s="64">
        <f t="shared" si="148"/>
        <v>19333334</v>
      </c>
      <c r="X163" s="65">
        <f t="shared" si="113"/>
        <v>7.7333336000000003E-2</v>
      </c>
      <c r="Y163" s="64">
        <f t="shared" si="148"/>
        <v>19333334</v>
      </c>
      <c r="Z163" s="65">
        <f t="shared" si="114"/>
        <v>7.7333336000000003E-2</v>
      </c>
    </row>
    <row r="164" spans="1:26" ht="28.5" customHeight="1">
      <c r="A164" s="26" t="e">
        <f>+CONCATENATE(#REF!,"=",J164)</f>
        <v>#REF!</v>
      </c>
      <c r="B164" s="66" t="str">
        <f t="shared" ref="B164" si="149">CONCATENATE(C164,"-",D164,"-",E164,"-",F164,"-",G164,"-",H164,"-",I164)</f>
        <v>C-4103-1500-19-0-4103049-02</v>
      </c>
      <c r="C164" s="67" t="s">
        <v>170</v>
      </c>
      <c r="D164" s="68" t="s">
        <v>174</v>
      </c>
      <c r="E164" s="68" t="s">
        <v>175</v>
      </c>
      <c r="F164" s="68">
        <v>19</v>
      </c>
      <c r="G164" s="68" t="s">
        <v>178</v>
      </c>
      <c r="H164" s="68">
        <v>4103049</v>
      </c>
      <c r="I164" s="69" t="s">
        <v>60</v>
      </c>
      <c r="J164" s="70">
        <v>11</v>
      </c>
      <c r="K164" s="71" t="s">
        <v>37</v>
      </c>
      <c r="L164" s="72" t="s">
        <v>86</v>
      </c>
      <c r="M164" s="73">
        <v>250000000</v>
      </c>
      <c r="N164" s="73"/>
      <c r="O164" s="73"/>
      <c r="P164" s="73"/>
      <c r="Q164" s="73">
        <v>0</v>
      </c>
      <c r="R164" s="74">
        <v>0</v>
      </c>
      <c r="S164" s="73">
        <f>+M164-R164+N164-O164+P164-Q164</f>
        <v>250000000</v>
      </c>
      <c r="T164" s="73">
        <v>19333334</v>
      </c>
      <c r="U164" s="73">
        <f>+S164-T164</f>
        <v>230666666</v>
      </c>
      <c r="V164" s="75">
        <f t="shared" si="133"/>
        <v>7.7333336000000003E-2</v>
      </c>
      <c r="W164" s="76">
        <v>19333334</v>
      </c>
      <c r="X164" s="75">
        <f t="shared" si="113"/>
        <v>7.7333336000000003E-2</v>
      </c>
      <c r="Y164" s="76">
        <v>19333334</v>
      </c>
      <c r="Z164" s="75">
        <f t="shared" si="114"/>
        <v>7.7333336000000003E-2</v>
      </c>
    </row>
    <row r="165" spans="1:26" ht="28.5" customHeight="1">
      <c r="A165" s="26" t="e">
        <f>+CONCATENATE(#REF!,"=",J165)</f>
        <v>#REF!</v>
      </c>
      <c r="B165" s="59" t="str">
        <f>CONCATENATE(C165,"-",D165,"-",E165,"-",F165,"-",G165,"-",H165)</f>
        <v>C-4103-1500-19-0-4103052</v>
      </c>
      <c r="C165" s="60" t="s">
        <v>170</v>
      </c>
      <c r="D165" s="61" t="s">
        <v>174</v>
      </c>
      <c r="E165" s="61" t="s">
        <v>175</v>
      </c>
      <c r="F165" s="61">
        <v>19</v>
      </c>
      <c r="G165" s="61" t="s">
        <v>178</v>
      </c>
      <c r="H165" s="61">
        <v>4103052</v>
      </c>
      <c r="I165" s="62"/>
      <c r="J165" s="63"/>
      <c r="K165" s="63" t="s">
        <v>37</v>
      </c>
      <c r="L165" s="59" t="s">
        <v>215</v>
      </c>
      <c r="M165" s="64">
        <f>M166</f>
        <v>11700000000</v>
      </c>
      <c r="N165" s="64">
        <f t="shared" si="148"/>
        <v>0</v>
      </c>
      <c r="O165" s="64">
        <f t="shared" si="148"/>
        <v>0</v>
      </c>
      <c r="P165" s="64">
        <f t="shared" si="148"/>
        <v>0</v>
      </c>
      <c r="Q165" s="64">
        <f t="shared" si="148"/>
        <v>0</v>
      </c>
      <c r="R165" s="64">
        <f t="shared" si="148"/>
        <v>0</v>
      </c>
      <c r="S165" s="64">
        <f t="shared" si="148"/>
        <v>11700000000</v>
      </c>
      <c r="T165" s="64">
        <f t="shared" si="148"/>
        <v>6849361583.5900002</v>
      </c>
      <c r="U165" s="64">
        <f t="shared" si="148"/>
        <v>4850638416.4099998</v>
      </c>
      <c r="V165" s="65">
        <f t="shared" si="133"/>
        <v>0.58541551996495733</v>
      </c>
      <c r="W165" s="64">
        <f t="shared" si="148"/>
        <v>6320078693.5900002</v>
      </c>
      <c r="X165" s="65">
        <f t="shared" si="113"/>
        <v>0.54017766611880347</v>
      </c>
      <c r="Y165" s="64">
        <f t="shared" si="148"/>
        <v>6220078693.5900002</v>
      </c>
      <c r="Z165" s="65">
        <f t="shared" si="114"/>
        <v>0.53163065757179484</v>
      </c>
    </row>
    <row r="166" spans="1:26" ht="28.5" customHeight="1">
      <c r="A166" s="26" t="e">
        <f>+CONCATENATE(#REF!,"=",J166)</f>
        <v>#REF!</v>
      </c>
      <c r="B166" s="66" t="str">
        <f t="shared" ref="B166:B168" si="150">CONCATENATE(C166,"-",D166,"-",E166,"-",F166,"-",G166,"-",H166,"-",I166)</f>
        <v>C-4103-1500-19-0-4103052-02</v>
      </c>
      <c r="C166" s="67" t="s">
        <v>170</v>
      </c>
      <c r="D166" s="68" t="s">
        <v>174</v>
      </c>
      <c r="E166" s="68" t="s">
        <v>175</v>
      </c>
      <c r="F166" s="68">
        <v>19</v>
      </c>
      <c r="G166" s="68" t="s">
        <v>178</v>
      </c>
      <c r="H166" s="68">
        <v>4103052</v>
      </c>
      <c r="I166" s="69" t="s">
        <v>60</v>
      </c>
      <c r="J166" s="70">
        <v>11</v>
      </c>
      <c r="K166" s="71" t="s">
        <v>37</v>
      </c>
      <c r="L166" s="72" t="s">
        <v>86</v>
      </c>
      <c r="M166" s="73">
        <v>11700000000</v>
      </c>
      <c r="N166" s="73"/>
      <c r="O166" s="73"/>
      <c r="P166" s="73"/>
      <c r="Q166" s="73">
        <v>0</v>
      </c>
      <c r="R166" s="74">
        <v>0</v>
      </c>
      <c r="S166" s="73">
        <f>+M166-R166+N166-O166+P166-Q166</f>
        <v>11700000000</v>
      </c>
      <c r="T166" s="73">
        <v>6849361583.5900002</v>
      </c>
      <c r="U166" s="73">
        <f>+S166-T166</f>
        <v>4850638416.4099998</v>
      </c>
      <c r="V166" s="75">
        <f t="shared" si="133"/>
        <v>0.58541551996495733</v>
      </c>
      <c r="W166" s="76">
        <v>6320078693.5900002</v>
      </c>
      <c r="X166" s="75">
        <f t="shared" si="113"/>
        <v>0.54017766611880347</v>
      </c>
      <c r="Y166" s="76">
        <v>6220078693.5900002</v>
      </c>
      <c r="Z166" s="75">
        <f t="shared" si="114"/>
        <v>0.53163065757179484</v>
      </c>
    </row>
    <row r="167" spans="1:26" ht="28.5" customHeight="1">
      <c r="A167" s="26" t="e">
        <f>+CONCATENATE(#REF!,"=",J167)</f>
        <v>#REF!</v>
      </c>
      <c r="B167" s="59" t="str">
        <f>CONCATENATE(C167,"-",D167,"-",E167,"-",F167,"-",G167,"-",H167)</f>
        <v>C-4103-1500-19-0-4103060</v>
      </c>
      <c r="C167" s="60" t="s">
        <v>170</v>
      </c>
      <c r="D167" s="61" t="s">
        <v>174</v>
      </c>
      <c r="E167" s="61" t="s">
        <v>175</v>
      </c>
      <c r="F167" s="61">
        <v>19</v>
      </c>
      <c r="G167" s="61" t="s">
        <v>178</v>
      </c>
      <c r="H167" s="61">
        <v>4103060</v>
      </c>
      <c r="I167" s="62"/>
      <c r="J167" s="63"/>
      <c r="K167" s="63" t="s">
        <v>37</v>
      </c>
      <c r="L167" s="59" t="s">
        <v>204</v>
      </c>
      <c r="M167" s="64">
        <f>M168</f>
        <v>50000000</v>
      </c>
      <c r="N167" s="64">
        <f t="shared" si="148"/>
        <v>0</v>
      </c>
      <c r="O167" s="64">
        <f t="shared" si="148"/>
        <v>0</v>
      </c>
      <c r="P167" s="64">
        <f t="shared" si="148"/>
        <v>0</v>
      </c>
      <c r="Q167" s="64">
        <f t="shared" si="148"/>
        <v>0</v>
      </c>
      <c r="R167" s="64">
        <f t="shared" si="148"/>
        <v>0</v>
      </c>
      <c r="S167" s="64">
        <f t="shared" si="148"/>
        <v>50000000</v>
      </c>
      <c r="T167" s="64">
        <f t="shared" si="148"/>
        <v>0</v>
      </c>
      <c r="U167" s="64">
        <f t="shared" si="148"/>
        <v>50000000</v>
      </c>
      <c r="V167" s="65">
        <f t="shared" si="133"/>
        <v>0</v>
      </c>
      <c r="W167" s="64">
        <f t="shared" si="148"/>
        <v>0</v>
      </c>
      <c r="X167" s="65">
        <f t="shared" si="113"/>
        <v>0</v>
      </c>
      <c r="Y167" s="64">
        <f t="shared" si="148"/>
        <v>0</v>
      </c>
      <c r="Z167" s="65">
        <f t="shared" si="114"/>
        <v>0</v>
      </c>
    </row>
    <row r="168" spans="1:26" ht="28.5" customHeight="1">
      <c r="A168" s="26" t="e">
        <f>+CONCATENATE(#REF!,"=",J168)</f>
        <v>#REF!</v>
      </c>
      <c r="B168" s="66" t="str">
        <f t="shared" si="150"/>
        <v>C-4103-1500-19-0-4103060-02</v>
      </c>
      <c r="C168" s="67" t="s">
        <v>170</v>
      </c>
      <c r="D168" s="68" t="s">
        <v>174</v>
      </c>
      <c r="E168" s="68" t="s">
        <v>175</v>
      </c>
      <c r="F168" s="68">
        <v>19</v>
      </c>
      <c r="G168" s="68" t="s">
        <v>178</v>
      </c>
      <c r="H168" s="68">
        <v>4103060</v>
      </c>
      <c r="I168" s="69" t="s">
        <v>60</v>
      </c>
      <c r="J168" s="70">
        <v>11</v>
      </c>
      <c r="K168" s="71" t="s">
        <v>37</v>
      </c>
      <c r="L168" s="72" t="s">
        <v>86</v>
      </c>
      <c r="M168" s="73">
        <v>50000000</v>
      </c>
      <c r="N168" s="73"/>
      <c r="O168" s="73"/>
      <c r="P168" s="73"/>
      <c r="Q168" s="73">
        <v>0</v>
      </c>
      <c r="R168" s="74">
        <v>0</v>
      </c>
      <c r="S168" s="73">
        <f>+M168-R168+N168-O168+P168-Q168</f>
        <v>50000000</v>
      </c>
      <c r="T168" s="73">
        <v>0</v>
      </c>
      <c r="U168" s="73">
        <f>+S168-T168</f>
        <v>50000000</v>
      </c>
      <c r="V168" s="75">
        <f t="shared" si="133"/>
        <v>0</v>
      </c>
      <c r="W168" s="76">
        <v>0</v>
      </c>
      <c r="X168" s="75">
        <f t="shared" si="113"/>
        <v>0</v>
      </c>
      <c r="Y168" s="76">
        <v>0</v>
      </c>
      <c r="Z168" s="75">
        <f t="shared" si="114"/>
        <v>0</v>
      </c>
    </row>
    <row r="169" spans="1:26" ht="31.5" customHeight="1">
      <c r="A169" s="26" t="e">
        <f>+CONCATENATE(#REF!,"=",J169)</f>
        <v>#REF!</v>
      </c>
      <c r="B169" s="51" t="str">
        <f>CONCATENATE(C169,"-",D169,"-",E169,"-",F169)</f>
        <v>C-4103-1500-20</v>
      </c>
      <c r="C169" s="52" t="s">
        <v>170</v>
      </c>
      <c r="D169" s="53" t="s">
        <v>174</v>
      </c>
      <c r="E169" s="53" t="s">
        <v>175</v>
      </c>
      <c r="F169" s="53">
        <v>20</v>
      </c>
      <c r="G169" s="53"/>
      <c r="H169" s="53"/>
      <c r="I169" s="54"/>
      <c r="J169" s="55"/>
      <c r="K169" s="55"/>
      <c r="L169" s="51" t="s">
        <v>216</v>
      </c>
      <c r="M169" s="56">
        <f>+M170+M172</f>
        <v>1021056959210</v>
      </c>
      <c r="N169" s="56">
        <f t="shared" ref="N169:Y169" si="151">+N170+N172</f>
        <v>0</v>
      </c>
      <c r="O169" s="56">
        <f t="shared" si="151"/>
        <v>0</v>
      </c>
      <c r="P169" s="56">
        <f t="shared" si="151"/>
        <v>71825165312</v>
      </c>
      <c r="Q169" s="56">
        <f t="shared" si="151"/>
        <v>22932825312</v>
      </c>
      <c r="R169" s="56">
        <f t="shared" si="151"/>
        <v>0</v>
      </c>
      <c r="S169" s="56">
        <f t="shared" si="151"/>
        <v>1069949299210</v>
      </c>
      <c r="T169" s="56">
        <f t="shared" si="151"/>
        <v>1054080936523.12</v>
      </c>
      <c r="U169" s="56">
        <f t="shared" si="151"/>
        <v>15868362686.880001</v>
      </c>
      <c r="V169" s="57">
        <f t="shared" si="133"/>
        <v>0.9851690517498386</v>
      </c>
      <c r="W169" s="58">
        <f t="shared" si="151"/>
        <v>998000944350.12</v>
      </c>
      <c r="X169" s="57">
        <f t="shared" si="113"/>
        <v>0.93275536054558539</v>
      </c>
      <c r="Y169" s="58">
        <f t="shared" si="151"/>
        <v>996007331993.12</v>
      </c>
      <c r="Z169" s="57">
        <f t="shared" si="114"/>
        <v>0.93089208313751381</v>
      </c>
    </row>
    <row r="170" spans="1:26" ht="28.5" customHeight="1">
      <c r="A170" s="26" t="e">
        <f>+CONCATENATE(#REF!,"=",J170)</f>
        <v>#REF!</v>
      </c>
      <c r="B170" s="59" t="str">
        <f>CONCATENATE(C170,"-",D170,"-",E170,"-",F170,"-",G170,"-",H170)</f>
        <v>C-4103-1500-20-0-4103061</v>
      </c>
      <c r="C170" s="60" t="s">
        <v>170</v>
      </c>
      <c r="D170" s="61" t="s">
        <v>174</v>
      </c>
      <c r="E170" s="61" t="s">
        <v>175</v>
      </c>
      <c r="F170" s="61">
        <v>20</v>
      </c>
      <c r="G170" s="61" t="s">
        <v>178</v>
      </c>
      <c r="H170" s="61">
        <v>4103061</v>
      </c>
      <c r="I170" s="62"/>
      <c r="J170" s="63"/>
      <c r="K170" s="63" t="s">
        <v>37</v>
      </c>
      <c r="L170" s="59" t="s">
        <v>217</v>
      </c>
      <c r="M170" s="64">
        <f>SUM(M171)</f>
        <v>777446076033</v>
      </c>
      <c r="N170" s="64">
        <f t="shared" ref="N170:Y170" si="152">SUM(N171)</f>
        <v>0</v>
      </c>
      <c r="O170" s="64">
        <f t="shared" si="152"/>
        <v>0</v>
      </c>
      <c r="P170" s="64">
        <f t="shared" si="152"/>
        <v>0</v>
      </c>
      <c r="Q170" s="64">
        <f t="shared" si="152"/>
        <v>0</v>
      </c>
      <c r="R170" s="64">
        <f t="shared" si="152"/>
        <v>0</v>
      </c>
      <c r="S170" s="64">
        <f t="shared" si="152"/>
        <v>777446076033</v>
      </c>
      <c r="T170" s="64">
        <f t="shared" si="152"/>
        <v>761638877770</v>
      </c>
      <c r="U170" s="64">
        <f t="shared" si="152"/>
        <v>15807198263</v>
      </c>
      <c r="V170" s="65">
        <f t="shared" si="133"/>
        <v>0.97966778822312939</v>
      </c>
      <c r="W170" s="64">
        <f t="shared" si="152"/>
        <v>757788137770</v>
      </c>
      <c r="X170" s="65">
        <f t="shared" si="113"/>
        <v>0.97471472444326079</v>
      </c>
      <c r="Y170" s="64">
        <f t="shared" si="152"/>
        <v>757788137770</v>
      </c>
      <c r="Z170" s="65">
        <f t="shared" si="114"/>
        <v>0.97471472444326079</v>
      </c>
    </row>
    <row r="171" spans="1:26" ht="28.5" customHeight="1">
      <c r="A171" s="26" t="e">
        <f>+CONCATENATE(#REF!,"=",J171)</f>
        <v>#REF!</v>
      </c>
      <c r="B171" s="66" t="str">
        <f t="shared" ref="B171" si="153">CONCATENATE(C171,"-",D171,"-",E171,"-",F171,"-",G171,"-",H171,"-",I171)</f>
        <v>C-4103-1500-20-0-4103061-03</v>
      </c>
      <c r="C171" s="67" t="s">
        <v>170</v>
      </c>
      <c r="D171" s="68" t="s">
        <v>174</v>
      </c>
      <c r="E171" s="68" t="s">
        <v>175</v>
      </c>
      <c r="F171" s="68">
        <v>20</v>
      </c>
      <c r="G171" s="68" t="s">
        <v>178</v>
      </c>
      <c r="H171" s="68">
        <v>4103061</v>
      </c>
      <c r="I171" s="69" t="s">
        <v>71</v>
      </c>
      <c r="J171" s="70">
        <v>10</v>
      </c>
      <c r="K171" s="71" t="s">
        <v>37</v>
      </c>
      <c r="L171" s="72" t="s">
        <v>134</v>
      </c>
      <c r="M171" s="73">
        <v>777446076033</v>
      </c>
      <c r="N171" s="73"/>
      <c r="O171" s="73"/>
      <c r="P171" s="73"/>
      <c r="Q171" s="73"/>
      <c r="R171" s="74">
        <v>0</v>
      </c>
      <c r="S171" s="73">
        <f>+M171+N171-O171+P171-Q171-R171</f>
        <v>777446076033</v>
      </c>
      <c r="T171" s="73">
        <v>761638877770</v>
      </c>
      <c r="U171" s="73">
        <f>+S171-T171</f>
        <v>15807198263</v>
      </c>
      <c r="V171" s="75">
        <f t="shared" si="133"/>
        <v>0.97966778822312939</v>
      </c>
      <c r="W171" s="76">
        <v>757788137770</v>
      </c>
      <c r="X171" s="75">
        <f t="shared" si="113"/>
        <v>0.97471472444326079</v>
      </c>
      <c r="Y171" s="76">
        <v>757788137770</v>
      </c>
      <c r="Z171" s="75">
        <f t="shared" si="114"/>
        <v>0.97471472444326079</v>
      </c>
    </row>
    <row r="172" spans="1:26" ht="28.5" customHeight="1">
      <c r="A172" s="26" t="e">
        <f>+CONCATENATE(#REF!,"=",J172)</f>
        <v>#REF!</v>
      </c>
      <c r="B172" s="59" t="str">
        <f>CONCATENATE(C172,"-",D172,"-",E172,"-",F172,"-",G172,"-",H172)</f>
        <v>C-4103-1500-20-0-4103061</v>
      </c>
      <c r="C172" s="60" t="s">
        <v>170</v>
      </c>
      <c r="D172" s="61" t="s">
        <v>174</v>
      </c>
      <c r="E172" s="61" t="s">
        <v>175</v>
      </c>
      <c r="F172" s="61">
        <v>20</v>
      </c>
      <c r="G172" s="61" t="s">
        <v>178</v>
      </c>
      <c r="H172" s="61">
        <v>4103061</v>
      </c>
      <c r="I172" s="62"/>
      <c r="J172" s="63"/>
      <c r="K172" s="63" t="s">
        <v>37</v>
      </c>
      <c r="L172" s="59" t="s">
        <v>217</v>
      </c>
      <c r="M172" s="64">
        <f>SUM(M173:M174)</f>
        <v>243610883177</v>
      </c>
      <c r="N172" s="64">
        <f t="shared" ref="N172:Y172" si="154">SUM(N173:N174)</f>
        <v>0</v>
      </c>
      <c r="O172" s="64">
        <f t="shared" si="154"/>
        <v>0</v>
      </c>
      <c r="P172" s="64">
        <f t="shared" si="154"/>
        <v>71825165312</v>
      </c>
      <c r="Q172" s="64">
        <f t="shared" si="154"/>
        <v>22932825312</v>
      </c>
      <c r="R172" s="64">
        <f t="shared" si="154"/>
        <v>0</v>
      </c>
      <c r="S172" s="64">
        <f t="shared" si="154"/>
        <v>292503223177</v>
      </c>
      <c r="T172" s="64">
        <f t="shared" si="154"/>
        <v>292442058753.12</v>
      </c>
      <c r="U172" s="64">
        <f t="shared" si="154"/>
        <v>61164423.880001068</v>
      </c>
      <c r="V172" s="65">
        <f t="shared" si="133"/>
        <v>0.99979089316276359</v>
      </c>
      <c r="W172" s="64">
        <f t="shared" si="154"/>
        <v>240212806580.12</v>
      </c>
      <c r="X172" s="65">
        <f t="shared" si="113"/>
        <v>0.82123131489310819</v>
      </c>
      <c r="Y172" s="64">
        <f t="shared" si="154"/>
        <v>238219194223.12</v>
      </c>
      <c r="Z172" s="65">
        <f t="shared" si="114"/>
        <v>0.81441562125614053</v>
      </c>
    </row>
    <row r="173" spans="1:26" ht="28.5" customHeight="1">
      <c r="A173" s="26" t="e">
        <f>+CONCATENATE(#REF!,"=",J173)</f>
        <v>#REF!</v>
      </c>
      <c r="B173" s="66" t="str">
        <f>CONCATENATE(C173,"-",D173,"-",E173,"-",F173,"-",G173,"-",H173,"-",I173)</f>
        <v>C-4103-1500-20-0-4103061-02</v>
      </c>
      <c r="C173" s="67" t="s">
        <v>170</v>
      </c>
      <c r="D173" s="68" t="s">
        <v>174</v>
      </c>
      <c r="E173" s="68" t="s">
        <v>175</v>
      </c>
      <c r="F173" s="68">
        <v>20</v>
      </c>
      <c r="G173" s="68" t="s">
        <v>178</v>
      </c>
      <c r="H173" s="68">
        <v>4103061</v>
      </c>
      <c r="I173" s="69" t="s">
        <v>60</v>
      </c>
      <c r="J173" s="70">
        <v>11</v>
      </c>
      <c r="K173" s="71" t="s">
        <v>37</v>
      </c>
      <c r="L173" s="72" t="s">
        <v>86</v>
      </c>
      <c r="M173" s="73">
        <v>36797363155</v>
      </c>
      <c r="N173" s="73"/>
      <c r="O173" s="73"/>
      <c r="P173" s="73">
        <f>1186130026+1186130026</f>
        <v>2372260052</v>
      </c>
      <c r="Q173" s="73">
        <f>1186130026+107660000+19266775234</f>
        <v>20560565260</v>
      </c>
      <c r="R173" s="74">
        <v>0</v>
      </c>
      <c r="S173" s="73">
        <f>+M173+N173-O173+P173-Q173-R173</f>
        <v>18609057947</v>
      </c>
      <c r="T173" s="73">
        <v>18547893523.119999</v>
      </c>
      <c r="U173" s="73">
        <f>+S173-T173</f>
        <v>61164423.880001068</v>
      </c>
      <c r="V173" s="75">
        <f>+IF(S173&gt;0,T173/S173,0)</f>
        <v>0.99671319074537779</v>
      </c>
      <c r="W173" s="76">
        <v>10612141350.120001</v>
      </c>
      <c r="X173" s="75">
        <f t="shared" si="113"/>
        <v>0.57026752135138592</v>
      </c>
      <c r="Y173" s="76">
        <v>8618528993.1200008</v>
      </c>
      <c r="Z173" s="75">
        <f t="shared" si="114"/>
        <v>0.46313623277794186</v>
      </c>
    </row>
    <row r="174" spans="1:26" ht="28.5" customHeight="1">
      <c r="A174" s="26" t="e">
        <f>+CONCATENATE(#REF!,"=",J174)</f>
        <v>#REF!</v>
      </c>
      <c r="B174" s="66" t="str">
        <f t="shared" ref="B174" si="155">CONCATENATE(C174,"-",D174,"-",E174,"-",F174,"-",G174,"-",H174,"-",I174)</f>
        <v>C-4103-1500-20-0-4103061-03</v>
      </c>
      <c r="C174" s="67" t="s">
        <v>170</v>
      </c>
      <c r="D174" s="68" t="s">
        <v>174</v>
      </c>
      <c r="E174" s="68" t="s">
        <v>175</v>
      </c>
      <c r="F174" s="68">
        <v>20</v>
      </c>
      <c r="G174" s="68" t="s">
        <v>178</v>
      </c>
      <c r="H174" s="68">
        <v>4103061</v>
      </c>
      <c r="I174" s="69" t="s">
        <v>71</v>
      </c>
      <c r="J174" s="70">
        <v>11</v>
      </c>
      <c r="K174" s="71" t="s">
        <v>37</v>
      </c>
      <c r="L174" s="72" t="s">
        <v>134</v>
      </c>
      <c r="M174" s="73">
        <v>206813520022</v>
      </c>
      <c r="N174" s="73"/>
      <c r="O174" s="73"/>
      <c r="P174" s="74">
        <f>1186130026+19266775234+49000000000</f>
        <v>69452905260</v>
      </c>
      <c r="Q174" s="73">
        <f>1186130026+1186130026</f>
        <v>2372260052</v>
      </c>
      <c r="R174" s="74">
        <v>0</v>
      </c>
      <c r="S174" s="73">
        <f>+M174+N174-O174+P174-Q174-R174</f>
        <v>273894165230</v>
      </c>
      <c r="T174" s="73">
        <v>273894165230</v>
      </c>
      <c r="U174" s="73">
        <f>+S174-T174</f>
        <v>0</v>
      </c>
      <c r="V174" s="75">
        <f t="shared" si="133"/>
        <v>1</v>
      </c>
      <c r="W174" s="76">
        <v>229600665230</v>
      </c>
      <c r="X174" s="75">
        <f t="shared" si="113"/>
        <v>0.83828242575812095</v>
      </c>
      <c r="Y174" s="76">
        <v>229600665230</v>
      </c>
      <c r="Z174" s="75">
        <f t="shared" si="114"/>
        <v>0.83828242575812095</v>
      </c>
    </row>
    <row r="175" spans="1:26" ht="31.5" customHeight="1">
      <c r="A175" s="26" t="e">
        <f>+CONCATENATE(#REF!,"=",J175)</f>
        <v>#REF!</v>
      </c>
      <c r="B175" s="51" t="str">
        <f>CONCATENATE(C175,"-",D175,"-",E175,"-",F175)</f>
        <v>C-4103-1500-21</v>
      </c>
      <c r="C175" s="52" t="s">
        <v>170</v>
      </c>
      <c r="D175" s="53">
        <v>4103</v>
      </c>
      <c r="E175" s="53" t="s">
        <v>175</v>
      </c>
      <c r="F175" s="53">
        <v>21</v>
      </c>
      <c r="G175" s="53"/>
      <c r="H175" s="53"/>
      <c r="I175" s="54"/>
      <c r="J175" s="55"/>
      <c r="K175" s="55"/>
      <c r="L175" s="51" t="s">
        <v>218</v>
      </c>
      <c r="M175" s="56">
        <f>+M180+M182+M184+M176+M178</f>
        <v>34000000000</v>
      </c>
      <c r="N175" s="56">
        <f t="shared" ref="N175:Y175" si="156">+N180+N182+N184+N176+N178</f>
        <v>0</v>
      </c>
      <c r="O175" s="56">
        <f t="shared" si="156"/>
        <v>0</v>
      </c>
      <c r="P175" s="56">
        <f t="shared" si="156"/>
        <v>0</v>
      </c>
      <c r="Q175" s="56">
        <f t="shared" si="156"/>
        <v>0</v>
      </c>
      <c r="R175" s="56">
        <f t="shared" si="156"/>
        <v>0</v>
      </c>
      <c r="S175" s="56">
        <f t="shared" si="156"/>
        <v>34000000000</v>
      </c>
      <c r="T175" s="56">
        <f t="shared" si="156"/>
        <v>6435628620</v>
      </c>
      <c r="U175" s="56">
        <f t="shared" si="156"/>
        <v>27564371380</v>
      </c>
      <c r="V175" s="57">
        <f t="shared" si="133"/>
        <v>0.18928319470588234</v>
      </c>
      <c r="W175" s="58">
        <f t="shared" si="156"/>
        <v>1336150938</v>
      </c>
      <c r="X175" s="57">
        <f t="shared" si="113"/>
        <v>3.9298556999999998E-2</v>
      </c>
      <c r="Y175" s="58">
        <f t="shared" si="156"/>
        <v>1336150938</v>
      </c>
      <c r="Z175" s="57">
        <f t="shared" si="114"/>
        <v>3.9298556999999998E-2</v>
      </c>
    </row>
    <row r="176" spans="1:26" ht="28.5" customHeight="1">
      <c r="A176" s="26" t="e">
        <f>+CONCATENATE(#REF!,"=",J176)</f>
        <v>#REF!</v>
      </c>
      <c r="B176" s="59" t="str">
        <f>CONCATENATE(C176,"-",D176,"-",E176,"-",F176,"-",G176,"-",H176)</f>
        <v>C-4103-1500-21-0-4103005</v>
      </c>
      <c r="C176" s="60" t="s">
        <v>170</v>
      </c>
      <c r="D176" s="61">
        <v>4103</v>
      </c>
      <c r="E176" s="61" t="s">
        <v>175</v>
      </c>
      <c r="F176" s="61">
        <v>21</v>
      </c>
      <c r="G176" s="61" t="s">
        <v>178</v>
      </c>
      <c r="H176" s="61" t="s">
        <v>207</v>
      </c>
      <c r="I176" s="62"/>
      <c r="J176" s="63"/>
      <c r="K176" s="63" t="s">
        <v>37</v>
      </c>
      <c r="L176" s="59" t="s">
        <v>208</v>
      </c>
      <c r="M176" s="64">
        <f t="shared" ref="M176:U176" si="157">SUM(M177:M177)</f>
        <v>4441786439</v>
      </c>
      <c r="N176" s="64">
        <f t="shared" si="157"/>
        <v>0</v>
      </c>
      <c r="O176" s="64">
        <f t="shared" si="157"/>
        <v>0</v>
      </c>
      <c r="P176" s="64">
        <f t="shared" si="157"/>
        <v>0</v>
      </c>
      <c r="Q176" s="64">
        <f t="shared" si="157"/>
        <v>0</v>
      </c>
      <c r="R176" s="64">
        <f t="shared" si="157"/>
        <v>0</v>
      </c>
      <c r="S176" s="64">
        <f t="shared" si="157"/>
        <v>4441786439</v>
      </c>
      <c r="T176" s="64">
        <f t="shared" si="157"/>
        <v>693800362</v>
      </c>
      <c r="U176" s="64">
        <f t="shared" si="157"/>
        <v>3747986077</v>
      </c>
      <c r="V176" s="65">
        <f t="shared" si="133"/>
        <v>0.15619849615196685</v>
      </c>
      <c r="W176" s="64">
        <f t="shared" ref="W176" si="158">SUM(W177:W177)</f>
        <v>0</v>
      </c>
      <c r="X176" s="65">
        <f t="shared" si="113"/>
        <v>0</v>
      </c>
      <c r="Y176" s="64">
        <f t="shared" ref="Y176" si="159">SUM(Y177:Y177)</f>
        <v>0</v>
      </c>
      <c r="Z176" s="65">
        <f t="shared" si="114"/>
        <v>0</v>
      </c>
    </row>
    <row r="177" spans="1:26" ht="28.5" customHeight="1">
      <c r="A177" s="26" t="e">
        <f>+CONCATENATE(#REF!,"=",J177)</f>
        <v>#REF!</v>
      </c>
      <c r="B177" s="66" t="str">
        <f t="shared" ref="B177:B185" si="160">CONCATENATE(C177,"-",D177,"-",E177,"-",F177,"-",G177,"-",H177,"-",I177)</f>
        <v>C-4103-1500-21-0-4103005-02</v>
      </c>
      <c r="C177" s="67" t="s">
        <v>170</v>
      </c>
      <c r="D177" s="68">
        <v>4103</v>
      </c>
      <c r="E177" s="68" t="s">
        <v>175</v>
      </c>
      <c r="F177" s="68">
        <v>21</v>
      </c>
      <c r="G177" s="68" t="s">
        <v>178</v>
      </c>
      <c r="H177" s="68" t="s">
        <v>207</v>
      </c>
      <c r="I177" s="69" t="s">
        <v>60</v>
      </c>
      <c r="J177" s="70">
        <v>11</v>
      </c>
      <c r="K177" s="71" t="s">
        <v>37</v>
      </c>
      <c r="L177" s="72" t="s">
        <v>86</v>
      </c>
      <c r="M177" s="73">
        <v>4441786439</v>
      </c>
      <c r="N177" s="73"/>
      <c r="O177" s="73"/>
      <c r="P177" s="73"/>
      <c r="Q177" s="73"/>
      <c r="R177" s="74">
        <v>0</v>
      </c>
      <c r="S177" s="73">
        <f>+M177-R177+N177-O177+P177-Q177</f>
        <v>4441786439</v>
      </c>
      <c r="T177" s="73">
        <v>693800362</v>
      </c>
      <c r="U177" s="73">
        <f t="shared" ref="U177" si="161">+S177-T177</f>
        <v>3747986077</v>
      </c>
      <c r="V177" s="75">
        <f t="shared" si="133"/>
        <v>0.15619849615196685</v>
      </c>
      <c r="W177" s="76">
        <v>0</v>
      </c>
      <c r="X177" s="75">
        <f t="shared" si="113"/>
        <v>0</v>
      </c>
      <c r="Y177" s="76">
        <v>0</v>
      </c>
      <c r="Z177" s="75">
        <f t="shared" si="114"/>
        <v>0</v>
      </c>
    </row>
    <row r="178" spans="1:26" ht="28.5" customHeight="1">
      <c r="A178" s="26" t="e">
        <f>+CONCATENATE(#REF!,"=",J178)</f>
        <v>#REF!</v>
      </c>
      <c r="B178" s="59" t="str">
        <f>CONCATENATE(C178,"-",D178,"-",E178,"-",F178,"-",G178,"-",H178)</f>
        <v>C-4103-1500-21-0-4103050</v>
      </c>
      <c r="C178" s="60" t="s">
        <v>170</v>
      </c>
      <c r="D178" s="61">
        <v>4103</v>
      </c>
      <c r="E178" s="61" t="s">
        <v>175</v>
      </c>
      <c r="F178" s="61">
        <v>21</v>
      </c>
      <c r="G178" s="61" t="s">
        <v>178</v>
      </c>
      <c r="H178" s="61" t="s">
        <v>219</v>
      </c>
      <c r="I178" s="62"/>
      <c r="J178" s="63"/>
      <c r="K178" s="63" t="s">
        <v>37</v>
      </c>
      <c r="L178" s="59" t="s">
        <v>212</v>
      </c>
      <c r="M178" s="64">
        <f>+M179</f>
        <v>1567335560</v>
      </c>
      <c r="N178" s="64">
        <f t="shared" ref="N178:Y178" si="162">+N179</f>
        <v>0</v>
      </c>
      <c r="O178" s="64">
        <f t="shared" si="162"/>
        <v>0</v>
      </c>
      <c r="P178" s="64">
        <f t="shared" si="162"/>
        <v>0</v>
      </c>
      <c r="Q178" s="64">
        <f t="shared" si="162"/>
        <v>0</v>
      </c>
      <c r="R178" s="64">
        <f t="shared" si="162"/>
        <v>0</v>
      </c>
      <c r="S178" s="64">
        <f t="shared" si="162"/>
        <v>1567335560</v>
      </c>
      <c r="T178" s="64">
        <f t="shared" si="162"/>
        <v>244815457</v>
      </c>
      <c r="U178" s="64">
        <f t="shared" si="162"/>
        <v>1322520103</v>
      </c>
      <c r="V178" s="65">
        <f t="shared" si="133"/>
        <v>0.15619849587283019</v>
      </c>
      <c r="W178" s="64">
        <f t="shared" si="162"/>
        <v>0</v>
      </c>
      <c r="X178" s="65">
        <f t="shared" si="113"/>
        <v>0</v>
      </c>
      <c r="Y178" s="64">
        <f t="shared" si="162"/>
        <v>0</v>
      </c>
      <c r="Z178" s="65">
        <f t="shared" si="114"/>
        <v>0</v>
      </c>
    </row>
    <row r="179" spans="1:26" ht="28.5" customHeight="1">
      <c r="A179" s="26" t="e">
        <f>+CONCATENATE(#REF!,"=",J179)</f>
        <v>#REF!</v>
      </c>
      <c r="B179" s="66" t="str">
        <f t="shared" si="160"/>
        <v>C-4103-1500-21-0-4103050-02</v>
      </c>
      <c r="C179" s="67" t="s">
        <v>170</v>
      </c>
      <c r="D179" s="68">
        <v>4103</v>
      </c>
      <c r="E179" s="68" t="s">
        <v>175</v>
      </c>
      <c r="F179" s="68">
        <v>21</v>
      </c>
      <c r="G179" s="68" t="s">
        <v>178</v>
      </c>
      <c r="H179" s="68" t="s">
        <v>219</v>
      </c>
      <c r="I179" s="69" t="s">
        <v>60</v>
      </c>
      <c r="J179" s="70">
        <v>11</v>
      </c>
      <c r="K179" s="71" t="s">
        <v>37</v>
      </c>
      <c r="L179" s="72" t="s">
        <v>86</v>
      </c>
      <c r="M179" s="73">
        <v>1567335560</v>
      </c>
      <c r="N179" s="73"/>
      <c r="O179" s="73"/>
      <c r="P179" s="73"/>
      <c r="Q179" s="73"/>
      <c r="R179" s="74">
        <v>0</v>
      </c>
      <c r="S179" s="73">
        <f>+M179-R179+N179-O179+P179-Q179</f>
        <v>1567335560</v>
      </c>
      <c r="T179" s="73">
        <v>244815457</v>
      </c>
      <c r="U179" s="73">
        <f t="shared" ref="U179" si="163">+S179-T179</f>
        <v>1322520103</v>
      </c>
      <c r="V179" s="75">
        <f t="shared" si="133"/>
        <v>0.15619849587283019</v>
      </c>
      <c r="W179" s="76">
        <v>0</v>
      </c>
      <c r="X179" s="75">
        <f t="shared" si="113"/>
        <v>0</v>
      </c>
      <c r="Y179" s="76">
        <v>0</v>
      </c>
      <c r="Z179" s="75">
        <f t="shared" si="114"/>
        <v>0</v>
      </c>
    </row>
    <row r="180" spans="1:26" ht="28.5" customHeight="1">
      <c r="A180" s="26" t="e">
        <f>+CONCATENATE(#REF!,"=",J180)</f>
        <v>#REF!</v>
      </c>
      <c r="B180" s="59" t="str">
        <f>CONCATENATE(C180,"-",D180,"-",E180,"-",F180,"-",G180,"-",H180)</f>
        <v>C-4103-1500-21-0-4103051</v>
      </c>
      <c r="C180" s="60" t="s">
        <v>170</v>
      </c>
      <c r="D180" s="61">
        <v>4103</v>
      </c>
      <c r="E180" s="61" t="s">
        <v>175</v>
      </c>
      <c r="F180" s="61">
        <v>21</v>
      </c>
      <c r="G180" s="61" t="s">
        <v>178</v>
      </c>
      <c r="H180" s="61" t="s">
        <v>185</v>
      </c>
      <c r="I180" s="62"/>
      <c r="J180" s="63"/>
      <c r="K180" s="63" t="s">
        <v>37</v>
      </c>
      <c r="L180" s="59" t="s">
        <v>186</v>
      </c>
      <c r="M180" s="64">
        <f>+M181</f>
        <v>2072835407</v>
      </c>
      <c r="N180" s="64">
        <f t="shared" ref="N180:Y180" si="164">+N181</f>
        <v>0</v>
      </c>
      <c r="O180" s="64">
        <f t="shared" si="164"/>
        <v>0</v>
      </c>
      <c r="P180" s="64">
        <f t="shared" si="164"/>
        <v>0</v>
      </c>
      <c r="Q180" s="64">
        <f t="shared" si="164"/>
        <v>0</v>
      </c>
      <c r="R180" s="64">
        <f t="shared" si="164"/>
        <v>0</v>
      </c>
      <c r="S180" s="64">
        <f t="shared" si="164"/>
        <v>2072835407</v>
      </c>
      <c r="T180" s="64">
        <f t="shared" si="164"/>
        <v>323773773</v>
      </c>
      <c r="U180" s="64">
        <f t="shared" si="164"/>
        <v>1749061634</v>
      </c>
      <c r="V180" s="65">
        <f t="shared" si="133"/>
        <v>0.15619849598603466</v>
      </c>
      <c r="W180" s="64">
        <f t="shared" si="164"/>
        <v>0</v>
      </c>
      <c r="X180" s="65">
        <f t="shared" si="113"/>
        <v>0</v>
      </c>
      <c r="Y180" s="64">
        <f t="shared" si="164"/>
        <v>0</v>
      </c>
      <c r="Z180" s="65">
        <f t="shared" si="114"/>
        <v>0</v>
      </c>
    </row>
    <row r="181" spans="1:26" ht="28.5" customHeight="1">
      <c r="A181" s="26" t="e">
        <f>+CONCATENATE(#REF!,"=",J181)</f>
        <v>#REF!</v>
      </c>
      <c r="B181" s="66" t="str">
        <f t="shared" si="160"/>
        <v>C-4103-1500-21-0-4103051-02</v>
      </c>
      <c r="C181" s="67" t="s">
        <v>170</v>
      </c>
      <c r="D181" s="68">
        <v>4103</v>
      </c>
      <c r="E181" s="68" t="s">
        <v>175</v>
      </c>
      <c r="F181" s="68">
        <v>21</v>
      </c>
      <c r="G181" s="68" t="s">
        <v>178</v>
      </c>
      <c r="H181" s="68" t="s">
        <v>185</v>
      </c>
      <c r="I181" s="69" t="s">
        <v>60</v>
      </c>
      <c r="J181" s="70">
        <v>11</v>
      </c>
      <c r="K181" s="71" t="s">
        <v>37</v>
      </c>
      <c r="L181" s="72" t="s">
        <v>86</v>
      </c>
      <c r="M181" s="73">
        <v>2072835407</v>
      </c>
      <c r="N181" s="73"/>
      <c r="O181" s="73"/>
      <c r="P181" s="73"/>
      <c r="Q181" s="77"/>
      <c r="R181" s="74">
        <v>0</v>
      </c>
      <c r="S181" s="73">
        <f>+M181-R181+N181-O181+P181-Q181</f>
        <v>2072835407</v>
      </c>
      <c r="T181" s="73">
        <v>323773773</v>
      </c>
      <c r="U181" s="73">
        <f t="shared" ref="U181" si="165">+S181-T181</f>
        <v>1749061634</v>
      </c>
      <c r="V181" s="75">
        <f t="shared" si="133"/>
        <v>0.15619849598603466</v>
      </c>
      <c r="W181" s="76">
        <v>0</v>
      </c>
      <c r="X181" s="75">
        <f t="shared" si="113"/>
        <v>0</v>
      </c>
      <c r="Y181" s="76">
        <v>0</v>
      </c>
      <c r="Z181" s="75">
        <f t="shared" si="114"/>
        <v>0</v>
      </c>
    </row>
    <row r="182" spans="1:26" ht="28.5" customHeight="1">
      <c r="A182" s="26" t="e">
        <f>+CONCATENATE(#REF!,"=",J182)</f>
        <v>#REF!</v>
      </c>
      <c r="B182" s="59" t="str">
        <f>CONCATENATE(C182,"-",D182,"-",E182,"-",F182,"-",G182,"-",H182)</f>
        <v>C-4103-1500-21-0-4103055</v>
      </c>
      <c r="C182" s="60" t="s">
        <v>170</v>
      </c>
      <c r="D182" s="61">
        <v>4103</v>
      </c>
      <c r="E182" s="61" t="s">
        <v>175</v>
      </c>
      <c r="F182" s="61">
        <v>21</v>
      </c>
      <c r="G182" s="61" t="s">
        <v>178</v>
      </c>
      <c r="H182" s="61" t="s">
        <v>191</v>
      </c>
      <c r="I182" s="62"/>
      <c r="J182" s="63"/>
      <c r="K182" s="63" t="s">
        <v>37</v>
      </c>
      <c r="L182" s="59" t="s">
        <v>192</v>
      </c>
      <c r="M182" s="64">
        <f t="shared" ref="M182:U182" si="166">SUM(M183:M183)</f>
        <v>5803396375</v>
      </c>
      <c r="N182" s="64">
        <f t="shared" si="166"/>
        <v>0</v>
      </c>
      <c r="O182" s="64">
        <f t="shared" si="166"/>
        <v>0</v>
      </c>
      <c r="P182" s="64">
        <f t="shared" si="166"/>
        <v>0</v>
      </c>
      <c r="Q182" s="64">
        <f t="shared" si="166"/>
        <v>0</v>
      </c>
      <c r="R182" s="64">
        <f t="shared" si="166"/>
        <v>0</v>
      </c>
      <c r="S182" s="64">
        <f t="shared" si="166"/>
        <v>5803396375</v>
      </c>
      <c r="T182" s="64">
        <f t="shared" si="166"/>
        <v>906481786</v>
      </c>
      <c r="U182" s="64">
        <f t="shared" si="166"/>
        <v>4896914589</v>
      </c>
      <c r="V182" s="65">
        <f t="shared" si="133"/>
        <v>0.15619849609186828</v>
      </c>
      <c r="W182" s="64">
        <f t="shared" ref="W182" si="167">SUM(W183:W183)</f>
        <v>0</v>
      </c>
      <c r="X182" s="65">
        <f t="shared" si="113"/>
        <v>0</v>
      </c>
      <c r="Y182" s="64">
        <f t="shared" ref="Y182" si="168">SUM(Y183:Y183)</f>
        <v>0</v>
      </c>
      <c r="Z182" s="65">
        <f t="shared" si="114"/>
        <v>0</v>
      </c>
    </row>
    <row r="183" spans="1:26" ht="28.5" customHeight="1">
      <c r="A183" s="26" t="e">
        <f>+CONCATENATE(#REF!,"=",J183)</f>
        <v>#REF!</v>
      </c>
      <c r="B183" s="66" t="str">
        <f t="shared" si="160"/>
        <v>C-4103-1500-21-0-4103055-02</v>
      </c>
      <c r="C183" s="67" t="s">
        <v>170</v>
      </c>
      <c r="D183" s="68">
        <v>4103</v>
      </c>
      <c r="E183" s="68" t="s">
        <v>175</v>
      </c>
      <c r="F183" s="68">
        <v>21</v>
      </c>
      <c r="G183" s="68" t="s">
        <v>178</v>
      </c>
      <c r="H183" s="68" t="s">
        <v>191</v>
      </c>
      <c r="I183" s="69" t="s">
        <v>60</v>
      </c>
      <c r="J183" s="70">
        <v>11</v>
      </c>
      <c r="K183" s="71" t="s">
        <v>37</v>
      </c>
      <c r="L183" s="72" t="s">
        <v>86</v>
      </c>
      <c r="M183" s="73">
        <v>5803396375</v>
      </c>
      <c r="N183" s="73"/>
      <c r="O183" s="73"/>
      <c r="P183" s="73"/>
      <c r="Q183" s="73"/>
      <c r="R183" s="74">
        <v>0</v>
      </c>
      <c r="S183" s="73">
        <f>+M183-R183+N183-O183+P183-Q183</f>
        <v>5803396375</v>
      </c>
      <c r="T183" s="73">
        <v>906481786</v>
      </c>
      <c r="U183" s="73">
        <f t="shared" ref="U183" si="169">+S183-T183</f>
        <v>4896914589</v>
      </c>
      <c r="V183" s="75">
        <f t="shared" si="133"/>
        <v>0.15619849609186828</v>
      </c>
      <c r="W183" s="76">
        <v>0</v>
      </c>
      <c r="X183" s="75">
        <f t="shared" si="113"/>
        <v>0</v>
      </c>
      <c r="Y183" s="76">
        <v>0</v>
      </c>
      <c r="Z183" s="75">
        <f t="shared" si="114"/>
        <v>0</v>
      </c>
    </row>
    <row r="184" spans="1:26" ht="28.5" customHeight="1">
      <c r="A184" s="26" t="e">
        <f>+CONCATENATE(#REF!,"=",J184)</f>
        <v>#REF!</v>
      </c>
      <c r="B184" s="59" t="str">
        <f>CONCATENATE(C184,"-",D184,"-",E184,"-",F184,"-",G184,"-",H184)</f>
        <v>C-4103-1500-21-0-4103058</v>
      </c>
      <c r="C184" s="60" t="s">
        <v>170</v>
      </c>
      <c r="D184" s="61">
        <v>4103</v>
      </c>
      <c r="E184" s="61" t="s">
        <v>175</v>
      </c>
      <c r="F184" s="61">
        <v>21</v>
      </c>
      <c r="G184" s="61" t="s">
        <v>178</v>
      </c>
      <c r="H184" s="61" t="s">
        <v>220</v>
      </c>
      <c r="I184" s="62"/>
      <c r="J184" s="63"/>
      <c r="K184" s="63" t="s">
        <v>37</v>
      </c>
      <c r="L184" s="59" t="s">
        <v>221</v>
      </c>
      <c r="M184" s="64">
        <f t="shared" ref="M184:U184" si="170">SUM(M185:M185)</f>
        <v>20114646219</v>
      </c>
      <c r="N184" s="64">
        <f t="shared" si="170"/>
        <v>0</v>
      </c>
      <c r="O184" s="64">
        <f t="shared" si="170"/>
        <v>0</v>
      </c>
      <c r="P184" s="64">
        <f t="shared" si="170"/>
        <v>0</v>
      </c>
      <c r="Q184" s="64">
        <f t="shared" si="170"/>
        <v>0</v>
      </c>
      <c r="R184" s="64">
        <f t="shared" si="170"/>
        <v>0</v>
      </c>
      <c r="S184" s="64">
        <f t="shared" si="170"/>
        <v>20114646219</v>
      </c>
      <c r="T184" s="64">
        <f t="shared" si="170"/>
        <v>4266757242</v>
      </c>
      <c r="U184" s="64">
        <f t="shared" si="170"/>
        <v>15847888977</v>
      </c>
      <c r="V184" s="65">
        <f t="shared" si="133"/>
        <v>0.21212191333346364</v>
      </c>
      <c r="W184" s="64">
        <f>SUM(W185:W185)</f>
        <v>1336150938</v>
      </c>
      <c r="X184" s="65">
        <f t="shared" si="113"/>
        <v>6.6426768010361098E-2</v>
      </c>
      <c r="Y184" s="64">
        <f>SUM(Y185:Y185)</f>
        <v>1336150938</v>
      </c>
      <c r="Z184" s="65">
        <f t="shared" si="114"/>
        <v>6.6426768010361098E-2</v>
      </c>
    </row>
    <row r="185" spans="1:26" ht="28.5" customHeight="1">
      <c r="A185" s="26" t="e">
        <f>+CONCATENATE(#REF!,"=",J185)</f>
        <v>#REF!</v>
      </c>
      <c r="B185" s="66" t="str">
        <f t="shared" si="160"/>
        <v>C-4103-1500-21-0-4103058-02</v>
      </c>
      <c r="C185" s="67" t="s">
        <v>170</v>
      </c>
      <c r="D185" s="68">
        <v>4103</v>
      </c>
      <c r="E185" s="68" t="s">
        <v>175</v>
      </c>
      <c r="F185" s="68">
        <v>21</v>
      </c>
      <c r="G185" s="68" t="s">
        <v>178</v>
      </c>
      <c r="H185" s="68" t="s">
        <v>220</v>
      </c>
      <c r="I185" s="69" t="s">
        <v>60</v>
      </c>
      <c r="J185" s="70">
        <v>11</v>
      </c>
      <c r="K185" s="71" t="s">
        <v>37</v>
      </c>
      <c r="L185" s="72" t="s">
        <v>86</v>
      </c>
      <c r="M185" s="73">
        <v>20114646219</v>
      </c>
      <c r="N185" s="73"/>
      <c r="O185" s="73"/>
      <c r="P185" s="73"/>
      <c r="Q185" s="74"/>
      <c r="R185" s="74">
        <v>0</v>
      </c>
      <c r="S185" s="73">
        <f>+M185-R185+N185-O185+P185-Q185</f>
        <v>20114646219</v>
      </c>
      <c r="T185" s="73">
        <v>4266757242</v>
      </c>
      <c r="U185" s="73">
        <f t="shared" ref="U185" si="171">+S185-T185</f>
        <v>15847888977</v>
      </c>
      <c r="V185" s="75">
        <f t="shared" si="133"/>
        <v>0.21212191333346364</v>
      </c>
      <c r="W185" s="76">
        <v>1336150938</v>
      </c>
      <c r="X185" s="75">
        <f t="shared" si="113"/>
        <v>6.6426768010361098E-2</v>
      </c>
      <c r="Y185" s="76">
        <v>1336150938</v>
      </c>
      <c r="Z185" s="75">
        <f t="shared" si="114"/>
        <v>6.6426768010361098E-2</v>
      </c>
    </row>
    <row r="186" spans="1:26" ht="36" customHeight="1">
      <c r="A186" s="26" t="e">
        <f>+CONCATENATE(#REF!,"=",J186)</f>
        <v>#REF!</v>
      </c>
      <c r="B186" s="51" t="str">
        <f>CONCATENATE(C186,"-",D186,"-",E186,"-",F186)</f>
        <v>C-4103-1500-22</v>
      </c>
      <c r="C186" s="52" t="s">
        <v>170</v>
      </c>
      <c r="D186" s="53">
        <v>4103</v>
      </c>
      <c r="E186" s="53" t="s">
        <v>175</v>
      </c>
      <c r="F186" s="53">
        <v>22</v>
      </c>
      <c r="G186" s="53"/>
      <c r="H186" s="53"/>
      <c r="I186" s="54"/>
      <c r="J186" s="55"/>
      <c r="K186" s="55"/>
      <c r="L186" s="51" t="s">
        <v>222</v>
      </c>
      <c r="M186" s="56">
        <f t="shared" ref="M186:U186" si="172">+M187+M189+M191+M193+M195+M198</f>
        <v>188272298572</v>
      </c>
      <c r="N186" s="56">
        <f t="shared" si="172"/>
        <v>0</v>
      </c>
      <c r="O186" s="56">
        <f t="shared" si="172"/>
        <v>0</v>
      </c>
      <c r="P186" s="56">
        <f t="shared" si="172"/>
        <v>75956656176</v>
      </c>
      <c r="Q186" s="56">
        <f t="shared" si="172"/>
        <v>75956656176</v>
      </c>
      <c r="R186" s="56">
        <f t="shared" si="172"/>
        <v>0</v>
      </c>
      <c r="S186" s="56">
        <f t="shared" si="172"/>
        <v>188272298572</v>
      </c>
      <c r="T186" s="56">
        <f t="shared" si="172"/>
        <v>20197586680</v>
      </c>
      <c r="U186" s="56">
        <f t="shared" si="172"/>
        <v>168074711892</v>
      </c>
      <c r="V186" s="57">
        <f t="shared" si="133"/>
        <v>0.10727858975108832</v>
      </c>
      <c r="W186" s="58">
        <f>+W187+W189+W191+W193+W195+W198</f>
        <v>14551082741</v>
      </c>
      <c r="X186" s="57">
        <f t="shared" si="113"/>
        <v>7.7287433421520085E-2</v>
      </c>
      <c r="Y186" s="58">
        <f>+Y187+Y189+Y191+Y193+Y195+Y198</f>
        <v>14540494081</v>
      </c>
      <c r="Z186" s="57">
        <f t="shared" si="114"/>
        <v>7.7231192221511841E-2</v>
      </c>
    </row>
    <row r="187" spans="1:26" ht="28.5" customHeight="1">
      <c r="A187" s="26" t="e">
        <f>+CONCATENATE(#REF!,"=",J187)</f>
        <v>#REF!</v>
      </c>
      <c r="B187" s="59" t="str">
        <f>CONCATENATE(C187,"-",D187,"-",E187,"-",F187,"-",G187,"-",H187)</f>
        <v>C-4103-1500-22-0-4103005</v>
      </c>
      <c r="C187" s="60" t="s">
        <v>170</v>
      </c>
      <c r="D187" s="61">
        <v>4103</v>
      </c>
      <c r="E187" s="61" t="s">
        <v>175</v>
      </c>
      <c r="F187" s="61">
        <v>22</v>
      </c>
      <c r="G187" s="61" t="s">
        <v>178</v>
      </c>
      <c r="H187" s="61" t="s">
        <v>207</v>
      </c>
      <c r="I187" s="62"/>
      <c r="J187" s="63"/>
      <c r="K187" s="63" t="s">
        <v>37</v>
      </c>
      <c r="L187" s="59" t="s">
        <v>208</v>
      </c>
      <c r="M187" s="64">
        <f t="shared" ref="M187:U187" si="173">SUM(M188:M188)</f>
        <v>10954065210</v>
      </c>
      <c r="N187" s="64">
        <f t="shared" si="173"/>
        <v>0</v>
      </c>
      <c r="O187" s="64">
        <f t="shared" si="173"/>
        <v>0</v>
      </c>
      <c r="P187" s="64">
        <f t="shared" si="173"/>
        <v>14887645880</v>
      </c>
      <c r="Q187" s="64">
        <f t="shared" si="173"/>
        <v>0</v>
      </c>
      <c r="R187" s="64">
        <f t="shared" si="173"/>
        <v>0</v>
      </c>
      <c r="S187" s="64">
        <f t="shared" si="173"/>
        <v>25841711090</v>
      </c>
      <c r="T187" s="64">
        <f t="shared" si="173"/>
        <v>1827408710</v>
      </c>
      <c r="U187" s="64">
        <f t="shared" si="173"/>
        <v>24014302380</v>
      </c>
      <c r="V187" s="65">
        <f t="shared" si="133"/>
        <v>7.0715468632692624E-2</v>
      </c>
      <c r="W187" s="64">
        <f t="shared" ref="W187" si="174">SUM(W188:W188)</f>
        <v>1827408710</v>
      </c>
      <c r="X187" s="65">
        <f t="shared" si="113"/>
        <v>7.0715468632692624E-2</v>
      </c>
      <c r="Y187" s="64">
        <f t="shared" ref="Y187" si="175">SUM(Y188:Y188)</f>
        <v>1827408710</v>
      </c>
      <c r="Z187" s="65">
        <f t="shared" si="114"/>
        <v>7.0715468632692624E-2</v>
      </c>
    </row>
    <row r="188" spans="1:26" ht="28.5" customHeight="1">
      <c r="A188" s="26" t="e">
        <f>+CONCATENATE(#REF!,"=",J188)</f>
        <v>#REF!</v>
      </c>
      <c r="B188" s="66" t="str">
        <f t="shared" ref="B188:B200" si="176">CONCATENATE(C188,"-",D188,"-",E188,"-",F188,"-",G188,"-",H188,"-",I188)</f>
        <v>C-4103-1500-22-0-4103005-02</v>
      </c>
      <c r="C188" s="67" t="s">
        <v>170</v>
      </c>
      <c r="D188" s="68">
        <v>4103</v>
      </c>
      <c r="E188" s="68" t="s">
        <v>175</v>
      </c>
      <c r="F188" s="68">
        <v>22</v>
      </c>
      <c r="G188" s="68" t="s">
        <v>178</v>
      </c>
      <c r="H188" s="68" t="s">
        <v>207</v>
      </c>
      <c r="I188" s="69" t="s">
        <v>60</v>
      </c>
      <c r="J188" s="70">
        <v>11</v>
      </c>
      <c r="K188" s="71" t="s">
        <v>37</v>
      </c>
      <c r="L188" s="72" t="s">
        <v>86</v>
      </c>
      <c r="M188" s="73">
        <v>10954065210</v>
      </c>
      <c r="N188" s="73"/>
      <c r="O188" s="73"/>
      <c r="P188" s="73">
        <f>14887645880</f>
        <v>14887645880</v>
      </c>
      <c r="Q188" s="73">
        <v>0</v>
      </c>
      <c r="R188" s="74">
        <v>0</v>
      </c>
      <c r="S188" s="73">
        <f>+M188-R188+N188-O188+P188-Q188</f>
        <v>25841711090</v>
      </c>
      <c r="T188" s="73">
        <v>1827408710</v>
      </c>
      <c r="U188" s="73">
        <f t="shared" ref="U188" si="177">+S188-T188</f>
        <v>24014302380</v>
      </c>
      <c r="V188" s="75">
        <f t="shared" si="133"/>
        <v>7.0715468632692624E-2</v>
      </c>
      <c r="W188" s="76">
        <v>1827408710</v>
      </c>
      <c r="X188" s="75">
        <f t="shared" si="113"/>
        <v>7.0715468632692624E-2</v>
      </c>
      <c r="Y188" s="76">
        <v>1827408710</v>
      </c>
      <c r="Z188" s="75">
        <f t="shared" si="114"/>
        <v>7.0715468632692624E-2</v>
      </c>
    </row>
    <row r="189" spans="1:26" ht="28.5" customHeight="1">
      <c r="A189" s="26" t="e">
        <f>+CONCATENATE(#REF!,"=",J189)</f>
        <v>#REF!</v>
      </c>
      <c r="B189" s="59" t="str">
        <f>CONCATENATE(C189,"-",D189,"-",E189,"-",F189,"-",G189,"-",H189)</f>
        <v>C-4103-1500-22-0-4103050</v>
      </c>
      <c r="C189" s="60" t="s">
        <v>170</v>
      </c>
      <c r="D189" s="61">
        <v>4103</v>
      </c>
      <c r="E189" s="61" t="s">
        <v>175</v>
      </c>
      <c r="F189" s="61">
        <v>22</v>
      </c>
      <c r="G189" s="61" t="s">
        <v>178</v>
      </c>
      <c r="H189" s="61" t="s">
        <v>219</v>
      </c>
      <c r="I189" s="62"/>
      <c r="J189" s="63"/>
      <c r="K189" s="63" t="s">
        <v>37</v>
      </c>
      <c r="L189" s="59" t="s">
        <v>212</v>
      </c>
      <c r="M189" s="64">
        <f t="shared" ref="M189:U189" si="178">SUM(M190:M190)</f>
        <v>23566120170</v>
      </c>
      <c r="N189" s="64">
        <f t="shared" si="178"/>
        <v>0</v>
      </c>
      <c r="O189" s="64">
        <f t="shared" si="178"/>
        <v>0</v>
      </c>
      <c r="P189" s="64">
        <f t="shared" si="178"/>
        <v>15512436655</v>
      </c>
      <c r="Q189" s="64">
        <f t="shared" si="178"/>
        <v>0</v>
      </c>
      <c r="R189" s="64">
        <f t="shared" si="178"/>
        <v>0</v>
      </c>
      <c r="S189" s="64">
        <f t="shared" si="178"/>
        <v>39078556825</v>
      </c>
      <c r="T189" s="64">
        <f t="shared" si="178"/>
        <v>4665273348</v>
      </c>
      <c r="U189" s="64">
        <f t="shared" si="178"/>
        <v>34413283477</v>
      </c>
      <c r="V189" s="65">
        <f t="shared" si="133"/>
        <v>0.11938192520496181</v>
      </c>
      <c r="W189" s="64">
        <f>SUM(W190:W190)</f>
        <v>4665273348</v>
      </c>
      <c r="X189" s="65">
        <f t="shared" si="113"/>
        <v>0.11938192520496181</v>
      </c>
      <c r="Y189" s="64">
        <f>SUM(Y190:Y190)</f>
        <v>4665273348</v>
      </c>
      <c r="Z189" s="65">
        <f t="shared" si="114"/>
        <v>0.11938192520496181</v>
      </c>
    </row>
    <row r="190" spans="1:26" ht="28.5" customHeight="1">
      <c r="A190" s="26" t="e">
        <f>+CONCATENATE(#REF!,"=",J190)</f>
        <v>#REF!</v>
      </c>
      <c r="B190" s="66" t="str">
        <f t="shared" si="176"/>
        <v>C-4103-1500-22-0-4103050-02</v>
      </c>
      <c r="C190" s="67" t="s">
        <v>170</v>
      </c>
      <c r="D190" s="68">
        <v>4103</v>
      </c>
      <c r="E190" s="68" t="s">
        <v>175</v>
      </c>
      <c r="F190" s="68">
        <v>22</v>
      </c>
      <c r="G190" s="68" t="s">
        <v>178</v>
      </c>
      <c r="H190" s="68" t="s">
        <v>219</v>
      </c>
      <c r="I190" s="69" t="s">
        <v>60</v>
      </c>
      <c r="J190" s="70">
        <v>11</v>
      </c>
      <c r="K190" s="71" t="s">
        <v>37</v>
      </c>
      <c r="L190" s="72" t="s">
        <v>86</v>
      </c>
      <c r="M190" s="73">
        <v>23566120170</v>
      </c>
      <c r="N190" s="73"/>
      <c r="O190" s="73"/>
      <c r="P190" s="73">
        <f>15512436655</f>
        <v>15512436655</v>
      </c>
      <c r="Q190" s="73">
        <v>0</v>
      </c>
      <c r="R190" s="74">
        <v>0</v>
      </c>
      <c r="S190" s="73">
        <f>+M190-R190+N190-O190+P190-Q190</f>
        <v>39078556825</v>
      </c>
      <c r="T190" s="73">
        <v>4665273348</v>
      </c>
      <c r="U190" s="73">
        <f t="shared" ref="U190" si="179">+S190-T190</f>
        <v>34413283477</v>
      </c>
      <c r="V190" s="75">
        <f t="shared" si="133"/>
        <v>0.11938192520496181</v>
      </c>
      <c r="W190" s="76">
        <v>4665273348</v>
      </c>
      <c r="X190" s="75">
        <f t="shared" si="113"/>
        <v>0.11938192520496181</v>
      </c>
      <c r="Y190" s="76">
        <v>4665273348</v>
      </c>
      <c r="Z190" s="75">
        <f t="shared" si="114"/>
        <v>0.11938192520496181</v>
      </c>
    </row>
    <row r="191" spans="1:26" ht="28.5" customHeight="1">
      <c r="A191" s="26" t="e">
        <f>+CONCATENATE(#REF!,"=",J191)</f>
        <v>#REF!</v>
      </c>
      <c r="B191" s="59" t="str">
        <f>CONCATENATE(C191,"-",D191,"-",E191,"-",F191,"-",G191,"-",H191)</f>
        <v>C-4103-1500-22-0-4103051</v>
      </c>
      <c r="C191" s="60" t="s">
        <v>170</v>
      </c>
      <c r="D191" s="61">
        <v>4103</v>
      </c>
      <c r="E191" s="61" t="s">
        <v>175</v>
      </c>
      <c r="F191" s="61">
        <v>22</v>
      </c>
      <c r="G191" s="61" t="s">
        <v>178</v>
      </c>
      <c r="H191" s="61">
        <v>4103051</v>
      </c>
      <c r="I191" s="62"/>
      <c r="J191" s="63"/>
      <c r="K191" s="63" t="s">
        <v>37</v>
      </c>
      <c r="L191" s="59" t="s">
        <v>186</v>
      </c>
      <c r="M191" s="64">
        <f t="shared" ref="M191:U191" si="180">SUM(M192:M192)</f>
        <v>18826252848</v>
      </c>
      <c r="N191" s="64">
        <f t="shared" si="180"/>
        <v>0</v>
      </c>
      <c r="O191" s="64">
        <f t="shared" si="180"/>
        <v>0</v>
      </c>
      <c r="P191" s="64">
        <f t="shared" si="180"/>
        <v>6493886506</v>
      </c>
      <c r="Q191" s="64">
        <f t="shared" si="180"/>
        <v>0</v>
      </c>
      <c r="R191" s="64">
        <f t="shared" si="180"/>
        <v>0</v>
      </c>
      <c r="S191" s="64">
        <f t="shared" si="180"/>
        <v>25320139354</v>
      </c>
      <c r="T191" s="64">
        <f t="shared" si="180"/>
        <v>1855950849</v>
      </c>
      <c r="U191" s="64">
        <f t="shared" si="180"/>
        <v>23464188505</v>
      </c>
      <c r="V191" s="65">
        <f t="shared" si="133"/>
        <v>7.3299393145196193E-2</v>
      </c>
      <c r="W191" s="64">
        <f t="shared" ref="W191" si="181">SUM(W192:W192)</f>
        <v>758322511</v>
      </c>
      <c r="X191" s="65">
        <f t="shared" si="113"/>
        <v>2.9949381415241005E-2</v>
      </c>
      <c r="Y191" s="64">
        <f t="shared" ref="Y191" si="182">SUM(Y192:Y192)</f>
        <v>758322511</v>
      </c>
      <c r="Z191" s="65">
        <f t="shared" si="114"/>
        <v>2.9949381415241005E-2</v>
      </c>
    </row>
    <row r="192" spans="1:26" ht="28.5" customHeight="1">
      <c r="A192" s="26" t="e">
        <f>+CONCATENATE(#REF!,"=",J192)</f>
        <v>#REF!</v>
      </c>
      <c r="B192" s="66" t="str">
        <f t="shared" si="176"/>
        <v>C-4103-1500-22-0-4103051-02</v>
      </c>
      <c r="C192" s="67" t="s">
        <v>170</v>
      </c>
      <c r="D192" s="68">
        <v>4103</v>
      </c>
      <c r="E192" s="68" t="s">
        <v>175</v>
      </c>
      <c r="F192" s="68">
        <v>22</v>
      </c>
      <c r="G192" s="68" t="s">
        <v>178</v>
      </c>
      <c r="H192" s="68">
        <v>4103051</v>
      </c>
      <c r="I192" s="69" t="s">
        <v>60</v>
      </c>
      <c r="J192" s="70">
        <v>11</v>
      </c>
      <c r="K192" s="71" t="s">
        <v>37</v>
      </c>
      <c r="L192" s="72" t="s">
        <v>86</v>
      </c>
      <c r="M192" s="73">
        <v>18826252848</v>
      </c>
      <c r="N192" s="73"/>
      <c r="O192" s="73"/>
      <c r="P192" s="73">
        <f>6493886506</f>
        <v>6493886506</v>
      </c>
      <c r="Q192" s="73">
        <v>0</v>
      </c>
      <c r="R192" s="74">
        <v>0</v>
      </c>
      <c r="S192" s="73">
        <f>+M192-R192+N192-O192+P192-Q192</f>
        <v>25320139354</v>
      </c>
      <c r="T192" s="73">
        <v>1855950849</v>
      </c>
      <c r="U192" s="73">
        <f t="shared" ref="U192" si="183">+S192-T192</f>
        <v>23464188505</v>
      </c>
      <c r="V192" s="75">
        <f t="shared" si="133"/>
        <v>7.3299393145196193E-2</v>
      </c>
      <c r="W192" s="76">
        <v>758322511</v>
      </c>
      <c r="X192" s="75">
        <f t="shared" si="113"/>
        <v>2.9949381415241005E-2</v>
      </c>
      <c r="Y192" s="76">
        <v>758322511</v>
      </c>
      <c r="Z192" s="75">
        <f t="shared" si="114"/>
        <v>2.9949381415241005E-2</v>
      </c>
    </row>
    <row r="193" spans="1:26" ht="28.5" customHeight="1">
      <c r="A193" s="26" t="e">
        <f>+CONCATENATE(#REF!,"=",J193)</f>
        <v>#REF!</v>
      </c>
      <c r="B193" s="59" t="str">
        <f>CONCATENATE(C193,"-",D193,"-",E193,"-",F193,"-",G193,"-",H193)</f>
        <v>C-4103-1500-22-0-4103055</v>
      </c>
      <c r="C193" s="60" t="s">
        <v>170</v>
      </c>
      <c r="D193" s="61">
        <v>4103</v>
      </c>
      <c r="E193" s="61" t="s">
        <v>175</v>
      </c>
      <c r="F193" s="61">
        <v>22</v>
      </c>
      <c r="G193" s="61" t="s">
        <v>178</v>
      </c>
      <c r="H193" s="61">
        <v>4103055</v>
      </c>
      <c r="I193" s="62"/>
      <c r="J193" s="63"/>
      <c r="K193" s="63" t="s">
        <v>37</v>
      </c>
      <c r="L193" s="59" t="s">
        <v>192</v>
      </c>
      <c r="M193" s="64">
        <f t="shared" ref="M193:U193" si="184">SUM(M194:M194)</f>
        <v>9355356380</v>
      </c>
      <c r="N193" s="64">
        <f t="shared" si="184"/>
        <v>0</v>
      </c>
      <c r="O193" s="64">
        <f t="shared" si="184"/>
        <v>0</v>
      </c>
      <c r="P193" s="64">
        <f t="shared" si="184"/>
        <v>21850058864</v>
      </c>
      <c r="Q193" s="64">
        <f t="shared" si="184"/>
        <v>0</v>
      </c>
      <c r="R193" s="64">
        <f t="shared" si="184"/>
        <v>0</v>
      </c>
      <c r="S193" s="64">
        <f t="shared" si="184"/>
        <v>31205415244</v>
      </c>
      <c r="T193" s="64">
        <f t="shared" si="184"/>
        <v>2590546718</v>
      </c>
      <c r="U193" s="64">
        <f t="shared" si="184"/>
        <v>28614868526</v>
      </c>
      <c r="V193" s="65">
        <f t="shared" si="133"/>
        <v>8.3015934822341306E-2</v>
      </c>
      <c r="W193" s="64">
        <f>SUM(W194:W194)</f>
        <v>2590546718</v>
      </c>
      <c r="X193" s="65">
        <f t="shared" si="113"/>
        <v>8.3015934822341306E-2</v>
      </c>
      <c r="Y193" s="64">
        <f>SUM(Y194:Y194)</f>
        <v>2590546718</v>
      </c>
      <c r="Z193" s="65">
        <f t="shared" si="114"/>
        <v>8.3015934822341306E-2</v>
      </c>
    </row>
    <row r="194" spans="1:26" ht="28.5" customHeight="1">
      <c r="A194" s="26" t="e">
        <f>+CONCATENATE(#REF!,"=",J194)</f>
        <v>#REF!</v>
      </c>
      <c r="B194" s="66" t="str">
        <f t="shared" si="176"/>
        <v>C-4103-1500-22-0-4103055-02</v>
      </c>
      <c r="C194" s="67" t="s">
        <v>170</v>
      </c>
      <c r="D194" s="68">
        <v>4103</v>
      </c>
      <c r="E194" s="68" t="s">
        <v>175</v>
      </c>
      <c r="F194" s="68">
        <v>22</v>
      </c>
      <c r="G194" s="68" t="s">
        <v>178</v>
      </c>
      <c r="H194" s="68" t="s">
        <v>191</v>
      </c>
      <c r="I194" s="69" t="s">
        <v>60</v>
      </c>
      <c r="J194" s="70">
        <v>11</v>
      </c>
      <c r="K194" s="71" t="s">
        <v>37</v>
      </c>
      <c r="L194" s="72" t="s">
        <v>86</v>
      </c>
      <c r="M194" s="73">
        <v>9355356380</v>
      </c>
      <c r="N194" s="73"/>
      <c r="O194" s="73"/>
      <c r="P194" s="73">
        <f>21850058864</f>
        <v>21850058864</v>
      </c>
      <c r="Q194" s="73"/>
      <c r="R194" s="74">
        <v>0</v>
      </c>
      <c r="S194" s="73">
        <f>+M194-R194+N194-O194+P194-Q194</f>
        <v>31205415244</v>
      </c>
      <c r="T194" s="73">
        <v>2590546718</v>
      </c>
      <c r="U194" s="73">
        <f t="shared" ref="U194" si="185">+S194-T194</f>
        <v>28614868526</v>
      </c>
      <c r="V194" s="75">
        <f t="shared" si="133"/>
        <v>8.3015934822341306E-2</v>
      </c>
      <c r="W194" s="76">
        <v>2590546718</v>
      </c>
      <c r="X194" s="75">
        <f t="shared" si="113"/>
        <v>8.3015934822341306E-2</v>
      </c>
      <c r="Y194" s="76">
        <v>2590546718</v>
      </c>
      <c r="Z194" s="75">
        <f t="shared" si="114"/>
        <v>8.3015934822341306E-2</v>
      </c>
    </row>
    <row r="195" spans="1:26" ht="28.5" customHeight="1">
      <c r="A195" s="26" t="e">
        <f>+CONCATENATE(#REF!,"=",J195)</f>
        <v>#REF!</v>
      </c>
      <c r="B195" s="59" t="str">
        <f>CONCATENATE(C195,"-",D195,"-",E195,"-",F195,"-",G195,"-",H195)</f>
        <v>C-4103-1500-22-0-4103057</v>
      </c>
      <c r="C195" s="60" t="s">
        <v>170</v>
      </c>
      <c r="D195" s="61">
        <v>4103</v>
      </c>
      <c r="E195" s="61" t="s">
        <v>175</v>
      </c>
      <c r="F195" s="61">
        <v>22</v>
      </c>
      <c r="G195" s="61" t="s">
        <v>178</v>
      </c>
      <c r="H195" s="61">
        <v>4103057</v>
      </c>
      <c r="I195" s="62"/>
      <c r="J195" s="63"/>
      <c r="K195" s="63" t="s">
        <v>37</v>
      </c>
      <c r="L195" s="59" t="s">
        <v>210</v>
      </c>
      <c r="M195" s="64">
        <f>SUM(M196:M197)</f>
        <v>42878440876</v>
      </c>
      <c r="N195" s="64">
        <f t="shared" ref="N195:U195" si="186">SUM(N196:N197)</f>
        <v>0</v>
      </c>
      <c r="O195" s="64">
        <f t="shared" si="186"/>
        <v>0</v>
      </c>
      <c r="P195" s="64">
        <f t="shared" si="186"/>
        <v>2559683689</v>
      </c>
      <c r="Q195" s="64">
        <f t="shared" si="186"/>
        <v>18063056176</v>
      </c>
      <c r="R195" s="64">
        <f t="shared" si="186"/>
        <v>0</v>
      </c>
      <c r="S195" s="64">
        <f t="shared" si="186"/>
        <v>27375068389</v>
      </c>
      <c r="T195" s="64">
        <f t="shared" si="186"/>
        <v>5742131182</v>
      </c>
      <c r="U195" s="64">
        <f t="shared" si="186"/>
        <v>21632937207</v>
      </c>
      <c r="V195" s="65">
        <f t="shared" si="133"/>
        <v>0.20975769267145775</v>
      </c>
      <c r="W195" s="64">
        <f t="shared" ref="W195" si="187">SUM(W196:W197)</f>
        <v>2874555581</v>
      </c>
      <c r="X195" s="65">
        <f t="shared" si="113"/>
        <v>0.10500633423641308</v>
      </c>
      <c r="Y195" s="64">
        <f t="shared" ref="Y195" si="188">SUM(Y196:Y197)</f>
        <v>2874555581</v>
      </c>
      <c r="Z195" s="65">
        <f t="shared" si="114"/>
        <v>0.10500633423641308</v>
      </c>
    </row>
    <row r="196" spans="1:26" ht="28.5" customHeight="1">
      <c r="A196" s="26" t="e">
        <f>+CONCATENATE(#REF!,"=",J196)</f>
        <v>#REF!</v>
      </c>
      <c r="B196" s="66" t="str">
        <f t="shared" si="176"/>
        <v>C-4103-1500-22-0-4103057-02</v>
      </c>
      <c r="C196" s="67" t="s">
        <v>170</v>
      </c>
      <c r="D196" s="68">
        <v>4103</v>
      </c>
      <c r="E196" s="68" t="s">
        <v>175</v>
      </c>
      <c r="F196" s="68">
        <v>22</v>
      </c>
      <c r="G196" s="68" t="s">
        <v>178</v>
      </c>
      <c r="H196" s="68" t="s">
        <v>209</v>
      </c>
      <c r="I196" s="69" t="s">
        <v>60</v>
      </c>
      <c r="J196" s="70">
        <v>11</v>
      </c>
      <c r="K196" s="71" t="s">
        <v>37</v>
      </c>
      <c r="L196" s="72" t="s">
        <v>86</v>
      </c>
      <c r="M196" s="73">
        <v>4467871684</v>
      </c>
      <c r="N196" s="73"/>
      <c r="O196" s="73"/>
      <c r="P196" s="73">
        <f>2559683689</f>
        <v>2559683689</v>
      </c>
      <c r="Q196" s="73">
        <f>110858384</f>
        <v>110858384</v>
      </c>
      <c r="R196" s="74">
        <v>0</v>
      </c>
      <c r="S196" s="73">
        <f>+M196-R196+N196-O196+P196-Q196</f>
        <v>6916696989</v>
      </c>
      <c r="T196" s="73">
        <v>3112537182</v>
      </c>
      <c r="U196" s="73">
        <f t="shared" ref="U196:U197" si="189">+S196-T196</f>
        <v>3804159807</v>
      </c>
      <c r="V196" s="75">
        <f t="shared" si="133"/>
        <v>0.45000340291761187</v>
      </c>
      <c r="W196" s="76">
        <v>2874555581</v>
      </c>
      <c r="X196" s="75">
        <f t="shared" si="113"/>
        <v>0.4155965752976547</v>
      </c>
      <c r="Y196" s="76">
        <v>2874555581</v>
      </c>
      <c r="Z196" s="75">
        <f t="shared" si="114"/>
        <v>0.4155965752976547</v>
      </c>
    </row>
    <row r="197" spans="1:26" ht="28.5" customHeight="1">
      <c r="A197" s="26" t="e">
        <f>+CONCATENATE(#REF!,"=",J197)</f>
        <v>#REF!</v>
      </c>
      <c r="B197" s="66" t="str">
        <f t="shared" si="176"/>
        <v>C-4103-1500-22-0-4103057-03</v>
      </c>
      <c r="C197" s="67" t="s">
        <v>170</v>
      </c>
      <c r="D197" s="68">
        <v>4103</v>
      </c>
      <c r="E197" s="68" t="s">
        <v>175</v>
      </c>
      <c r="F197" s="68">
        <v>22</v>
      </c>
      <c r="G197" s="68" t="s">
        <v>178</v>
      </c>
      <c r="H197" s="68" t="s">
        <v>209</v>
      </c>
      <c r="I197" s="69" t="s">
        <v>71</v>
      </c>
      <c r="J197" s="70">
        <v>11</v>
      </c>
      <c r="K197" s="71" t="s">
        <v>37</v>
      </c>
      <c r="L197" s="72" t="s">
        <v>134</v>
      </c>
      <c r="M197" s="73">
        <v>38410569192</v>
      </c>
      <c r="N197" s="73"/>
      <c r="O197" s="73"/>
      <c r="P197" s="73"/>
      <c r="Q197" s="73">
        <f>17952197792</f>
        <v>17952197792</v>
      </c>
      <c r="R197" s="74">
        <v>0</v>
      </c>
      <c r="S197" s="73">
        <f>+M197-R197+N197-O197+P197-Q197</f>
        <v>20458371400</v>
      </c>
      <c r="T197" s="73">
        <v>2629594000</v>
      </c>
      <c r="U197" s="73">
        <f t="shared" si="189"/>
        <v>17828777400</v>
      </c>
      <c r="V197" s="75">
        <f t="shared" si="133"/>
        <v>0.12853388711087727</v>
      </c>
      <c r="W197" s="76">
        <v>0</v>
      </c>
      <c r="X197" s="75">
        <f t="shared" si="113"/>
        <v>0</v>
      </c>
      <c r="Y197" s="76">
        <v>0</v>
      </c>
      <c r="Z197" s="75">
        <f t="shared" si="114"/>
        <v>0</v>
      </c>
    </row>
    <row r="198" spans="1:26" ht="28.5" customHeight="1">
      <c r="A198" s="26" t="e">
        <f>+CONCATENATE(#REF!,"=",J198)</f>
        <v>#REF!</v>
      </c>
      <c r="B198" s="59" t="str">
        <f>CONCATENATE(C198,"-",D198,"-",E198,"-",F198,"-",G198,"-",H198)</f>
        <v>C-4103-1500-22-0-4103062</v>
      </c>
      <c r="C198" s="60" t="s">
        <v>170</v>
      </c>
      <c r="D198" s="61">
        <v>4103</v>
      </c>
      <c r="E198" s="61" t="s">
        <v>175</v>
      </c>
      <c r="F198" s="61">
        <v>22</v>
      </c>
      <c r="G198" s="61" t="s">
        <v>178</v>
      </c>
      <c r="H198" s="61">
        <v>4103062</v>
      </c>
      <c r="I198" s="62"/>
      <c r="J198" s="63"/>
      <c r="K198" s="63" t="s">
        <v>37</v>
      </c>
      <c r="L198" s="59" t="s">
        <v>223</v>
      </c>
      <c r="M198" s="64">
        <f>SUM(M199:M200)</f>
        <v>82692063088</v>
      </c>
      <c r="N198" s="64">
        <f t="shared" ref="N198:U198" si="190">SUM(N199:N200)</f>
        <v>0</v>
      </c>
      <c r="O198" s="64">
        <f t="shared" si="190"/>
        <v>0</v>
      </c>
      <c r="P198" s="64">
        <f t="shared" si="190"/>
        <v>14652944582</v>
      </c>
      <c r="Q198" s="64">
        <f t="shared" si="190"/>
        <v>57893600000</v>
      </c>
      <c r="R198" s="64">
        <f t="shared" si="190"/>
        <v>0</v>
      </c>
      <c r="S198" s="64">
        <f t="shared" si="190"/>
        <v>39451407670</v>
      </c>
      <c r="T198" s="64">
        <f t="shared" si="190"/>
        <v>3516275873</v>
      </c>
      <c r="U198" s="64">
        <f t="shared" si="190"/>
        <v>35935131797</v>
      </c>
      <c r="V198" s="65">
        <f t="shared" si="133"/>
        <v>8.9129287918257943E-2</v>
      </c>
      <c r="W198" s="64">
        <f t="shared" ref="W198" si="191">SUM(W199:W200)</f>
        <v>1834975873</v>
      </c>
      <c r="X198" s="65">
        <f t="shared" si="113"/>
        <v>4.6512304157789765E-2</v>
      </c>
      <c r="Y198" s="64">
        <f t="shared" ref="Y198" si="192">SUM(Y199:Y200)</f>
        <v>1824387213</v>
      </c>
      <c r="Z198" s="65">
        <f t="shared" si="114"/>
        <v>4.6243906637260933E-2</v>
      </c>
    </row>
    <row r="199" spans="1:26" ht="28.5" customHeight="1">
      <c r="A199" s="26" t="e">
        <f>+CONCATENATE(#REF!,"=",J199)</f>
        <v>#REF!</v>
      </c>
      <c r="B199" s="66" t="str">
        <f t="shared" si="176"/>
        <v>C-4103-1500-22-0-4103062-02</v>
      </c>
      <c r="C199" s="67" t="s">
        <v>170</v>
      </c>
      <c r="D199" s="68">
        <v>4103</v>
      </c>
      <c r="E199" s="68" t="s">
        <v>175</v>
      </c>
      <c r="F199" s="68">
        <v>22</v>
      </c>
      <c r="G199" s="68" t="s">
        <v>178</v>
      </c>
      <c r="H199" s="68" t="s">
        <v>224</v>
      </c>
      <c r="I199" s="69" t="s">
        <v>60</v>
      </c>
      <c r="J199" s="70">
        <v>11</v>
      </c>
      <c r="K199" s="71" t="s">
        <v>37</v>
      </c>
      <c r="L199" s="72" t="s">
        <v>86</v>
      </c>
      <c r="M199" s="73">
        <v>11892063088</v>
      </c>
      <c r="N199" s="73"/>
      <c r="O199" s="73"/>
      <c r="P199" s="73">
        <f>14542086198+110858384</f>
        <v>14652944582</v>
      </c>
      <c r="Q199" s="73">
        <v>0</v>
      </c>
      <c r="R199" s="74">
        <v>0</v>
      </c>
      <c r="S199" s="73">
        <f>+M199-R199+N199-O199+P199-Q199</f>
        <v>26545007670</v>
      </c>
      <c r="T199" s="73">
        <v>1834975873</v>
      </c>
      <c r="U199" s="73">
        <f t="shared" ref="U199:U200" si="193">+S199-T199</f>
        <v>24710031797</v>
      </c>
      <c r="V199" s="75">
        <f t="shared" si="133"/>
        <v>6.9126967142443471E-2</v>
      </c>
      <c r="W199" s="76">
        <v>1834975873</v>
      </c>
      <c r="X199" s="75">
        <f t="shared" si="113"/>
        <v>6.9126967142443471E-2</v>
      </c>
      <c r="Y199" s="76">
        <v>1824387213</v>
      </c>
      <c r="Z199" s="75">
        <f t="shared" si="114"/>
        <v>6.8728072550600247E-2</v>
      </c>
    </row>
    <row r="200" spans="1:26" ht="28.5" customHeight="1">
      <c r="A200" s="26" t="e">
        <f>+CONCATENATE(#REF!,"=",J200)</f>
        <v>#REF!</v>
      </c>
      <c r="B200" s="66" t="str">
        <f t="shared" si="176"/>
        <v>C-4103-1500-22-0-4103062-03</v>
      </c>
      <c r="C200" s="67" t="s">
        <v>170</v>
      </c>
      <c r="D200" s="68">
        <v>4103</v>
      </c>
      <c r="E200" s="68" t="s">
        <v>175</v>
      </c>
      <c r="F200" s="68">
        <v>22</v>
      </c>
      <c r="G200" s="68" t="s">
        <v>178</v>
      </c>
      <c r="H200" s="68" t="s">
        <v>224</v>
      </c>
      <c r="I200" s="69" t="s">
        <v>71</v>
      </c>
      <c r="J200" s="70">
        <v>11</v>
      </c>
      <c r="K200" s="71" t="s">
        <v>37</v>
      </c>
      <c r="L200" s="72" t="s">
        <v>134</v>
      </c>
      <c r="M200" s="73">
        <v>70800000000</v>
      </c>
      <c r="N200" s="73"/>
      <c r="O200" s="73"/>
      <c r="P200" s="73"/>
      <c r="Q200" s="73">
        <f>57893600000</f>
        <v>57893600000</v>
      </c>
      <c r="R200" s="74">
        <v>0</v>
      </c>
      <c r="S200" s="73">
        <f>+M200-R200+N200-O200+P200-Q200</f>
        <v>12906400000</v>
      </c>
      <c r="T200" s="73">
        <v>1681300000</v>
      </c>
      <c r="U200" s="73">
        <f t="shared" si="193"/>
        <v>11225100000</v>
      </c>
      <c r="V200" s="75">
        <f t="shared" si="133"/>
        <v>0.13026870389884088</v>
      </c>
      <c r="W200" s="76">
        <v>0</v>
      </c>
      <c r="X200" s="75">
        <f t="shared" ref="X200:X242" si="194">+W200/S200</f>
        <v>0</v>
      </c>
      <c r="Y200" s="76">
        <v>0</v>
      </c>
      <c r="Z200" s="75">
        <f t="shared" ref="Z200:Z242" si="195">+Y200/S200</f>
        <v>0</v>
      </c>
    </row>
    <row r="201" spans="1:26" ht="31.5" customHeight="1">
      <c r="A201" s="26" t="e">
        <f>+CONCATENATE(#REF!,"=",J201)</f>
        <v>#REF!</v>
      </c>
      <c r="B201" s="51" t="str">
        <f>CONCATENATE(C201,"-",D201,"-",E201,"-",F201)</f>
        <v>C-4103-1500-23</v>
      </c>
      <c r="C201" s="52" t="s">
        <v>170</v>
      </c>
      <c r="D201" s="53" t="s">
        <v>174</v>
      </c>
      <c r="E201" s="53" t="s">
        <v>175</v>
      </c>
      <c r="F201" s="53">
        <v>23</v>
      </c>
      <c r="G201" s="53"/>
      <c r="H201" s="53"/>
      <c r="I201" s="54"/>
      <c r="J201" s="55"/>
      <c r="K201" s="55"/>
      <c r="L201" s="51" t="s">
        <v>225</v>
      </c>
      <c r="M201" s="56">
        <f>+M202+M205</f>
        <v>1716644723711</v>
      </c>
      <c r="N201" s="56">
        <f t="shared" ref="N201:Y201" si="196">+N202+N205</f>
        <v>0</v>
      </c>
      <c r="O201" s="56">
        <f t="shared" si="196"/>
        <v>0</v>
      </c>
      <c r="P201" s="56">
        <f t="shared" si="196"/>
        <v>3255561837</v>
      </c>
      <c r="Q201" s="56">
        <f t="shared" si="196"/>
        <v>7482478397</v>
      </c>
      <c r="R201" s="56">
        <f t="shared" si="196"/>
        <v>0</v>
      </c>
      <c r="S201" s="56">
        <f t="shared" si="196"/>
        <v>1712417807151</v>
      </c>
      <c r="T201" s="56">
        <f t="shared" si="196"/>
        <v>1623363486381.3101</v>
      </c>
      <c r="U201" s="56">
        <f t="shared" si="196"/>
        <v>89054320769.690002</v>
      </c>
      <c r="V201" s="57">
        <f t="shared" si="133"/>
        <v>0.94799498089905276</v>
      </c>
      <c r="W201" s="58">
        <f t="shared" si="196"/>
        <v>1615428282872.3101</v>
      </c>
      <c r="X201" s="57">
        <f t="shared" si="194"/>
        <v>0.94336106301063627</v>
      </c>
      <c r="Y201" s="58">
        <f t="shared" si="196"/>
        <v>1615428282872.3101</v>
      </c>
      <c r="Z201" s="57">
        <f t="shared" si="195"/>
        <v>0.94336106301063627</v>
      </c>
    </row>
    <row r="202" spans="1:26" ht="28.5" customHeight="1">
      <c r="A202" s="26" t="e">
        <f>+CONCATENATE(#REF!,"=",J202)</f>
        <v>#REF!</v>
      </c>
      <c r="B202" s="59" t="str">
        <f>CONCATENATE(C202,"-",D202,"-",E202,"-",F202,"-",G202,"-",H202)</f>
        <v>C-4103-1500-23-0-4103065</v>
      </c>
      <c r="C202" s="60" t="s">
        <v>170</v>
      </c>
      <c r="D202" s="61" t="s">
        <v>174</v>
      </c>
      <c r="E202" s="61" t="s">
        <v>175</v>
      </c>
      <c r="F202" s="61">
        <v>23</v>
      </c>
      <c r="G202" s="61" t="s">
        <v>178</v>
      </c>
      <c r="H202" s="61">
        <v>4103065</v>
      </c>
      <c r="I202" s="62"/>
      <c r="J202" s="63"/>
      <c r="K202" s="63" t="s">
        <v>37</v>
      </c>
      <c r="L202" s="59" t="s">
        <v>226</v>
      </c>
      <c r="M202" s="64">
        <f>SUM(M203:M204)</f>
        <v>852944176607</v>
      </c>
      <c r="N202" s="64">
        <f t="shared" ref="N202:Y202" si="197">SUM(N203:N204)</f>
        <v>0</v>
      </c>
      <c r="O202" s="64">
        <f t="shared" si="197"/>
        <v>0</v>
      </c>
      <c r="P202" s="64">
        <f t="shared" si="197"/>
        <v>3255561837</v>
      </c>
      <c r="Q202" s="64">
        <f t="shared" si="197"/>
        <v>7482478397</v>
      </c>
      <c r="R202" s="64">
        <f t="shared" si="197"/>
        <v>0</v>
      </c>
      <c r="S202" s="64">
        <f t="shared" si="197"/>
        <v>848717260047</v>
      </c>
      <c r="T202" s="64">
        <f t="shared" si="197"/>
        <v>759662939277.31006</v>
      </c>
      <c r="U202" s="64">
        <f t="shared" si="197"/>
        <v>89054320769.690002</v>
      </c>
      <c r="V202" s="65">
        <f t="shared" si="133"/>
        <v>0.89507186319651577</v>
      </c>
      <c r="W202" s="64">
        <f t="shared" si="197"/>
        <v>751727735768.31006</v>
      </c>
      <c r="X202" s="65">
        <f t="shared" si="194"/>
        <v>0.88572222005557077</v>
      </c>
      <c r="Y202" s="64">
        <f t="shared" si="197"/>
        <v>751727735768.31006</v>
      </c>
      <c r="Z202" s="65">
        <f t="shared" si="195"/>
        <v>0.88572222005557077</v>
      </c>
    </row>
    <row r="203" spans="1:26" ht="28.5" customHeight="1">
      <c r="A203" s="26" t="e">
        <f>+CONCATENATE(#REF!,"=",J203)</f>
        <v>#REF!</v>
      </c>
      <c r="B203" s="66" t="str">
        <f t="shared" ref="B203:B206" si="198">CONCATENATE(C203,"-",D203,"-",E203,"-",F203,"-",G203,"-",H203,"-",I203)</f>
        <v>C-4103-1500-23-0-4103065-02</v>
      </c>
      <c r="C203" s="67" t="s">
        <v>170</v>
      </c>
      <c r="D203" s="68" t="s">
        <v>174</v>
      </c>
      <c r="E203" s="68" t="s">
        <v>175</v>
      </c>
      <c r="F203" s="68">
        <v>23</v>
      </c>
      <c r="G203" s="68" t="s">
        <v>178</v>
      </c>
      <c r="H203" s="68">
        <v>4103065</v>
      </c>
      <c r="I203" s="69" t="s">
        <v>60</v>
      </c>
      <c r="J203" s="70">
        <v>10</v>
      </c>
      <c r="K203" s="71" t="s">
        <v>37</v>
      </c>
      <c r="L203" s="72" t="s">
        <v>86</v>
      </c>
      <c r="M203" s="73">
        <v>58404083711</v>
      </c>
      <c r="N203" s="73"/>
      <c r="O203" s="73"/>
      <c r="P203" s="73">
        <f>1085187279+1085187279</f>
        <v>2170374558</v>
      </c>
      <c r="Q203" s="74">
        <f>1085187279+3826916560+400000000</f>
        <v>5312103839</v>
      </c>
      <c r="R203" s="74">
        <v>0</v>
      </c>
      <c r="S203" s="73">
        <f>+M203+N203-O203+P203-Q203-R203</f>
        <v>55262354430</v>
      </c>
      <c r="T203" s="73">
        <v>44380731381.309998</v>
      </c>
      <c r="U203" s="73">
        <f>+S203-T203</f>
        <v>10881623048.690002</v>
      </c>
      <c r="V203" s="75">
        <f t="shared" si="133"/>
        <v>0.80309157724226909</v>
      </c>
      <c r="W203" s="76">
        <v>42219117872.309998</v>
      </c>
      <c r="X203" s="75">
        <f t="shared" si="194"/>
        <v>0.76397609743154038</v>
      </c>
      <c r="Y203" s="76">
        <v>42219117872.309998</v>
      </c>
      <c r="Z203" s="75">
        <f t="shared" si="195"/>
        <v>0.76397609743154038</v>
      </c>
    </row>
    <row r="204" spans="1:26" ht="28.5" customHeight="1">
      <c r="A204" s="26" t="e">
        <f>+CONCATENATE(#REF!,"=",J204)</f>
        <v>#REF!</v>
      </c>
      <c r="B204" s="66" t="str">
        <f t="shared" si="198"/>
        <v>C-4103-1500-23-0-4103065-03</v>
      </c>
      <c r="C204" s="67" t="s">
        <v>170</v>
      </c>
      <c r="D204" s="68" t="s">
        <v>174</v>
      </c>
      <c r="E204" s="68" t="s">
        <v>175</v>
      </c>
      <c r="F204" s="68">
        <v>23</v>
      </c>
      <c r="G204" s="68" t="s">
        <v>178</v>
      </c>
      <c r="H204" s="68">
        <v>4103065</v>
      </c>
      <c r="I204" s="69" t="s">
        <v>71</v>
      </c>
      <c r="J204" s="70">
        <v>10</v>
      </c>
      <c r="K204" s="71" t="s">
        <v>37</v>
      </c>
      <c r="L204" s="72" t="s">
        <v>134</v>
      </c>
      <c r="M204" s="73">
        <v>794540092896</v>
      </c>
      <c r="N204" s="73"/>
      <c r="O204" s="73"/>
      <c r="P204" s="73">
        <f>1085187279</f>
        <v>1085187279</v>
      </c>
      <c r="Q204" s="73">
        <f>1085187279+1085187279</f>
        <v>2170374558</v>
      </c>
      <c r="R204" s="74">
        <v>0</v>
      </c>
      <c r="S204" s="73">
        <f>+M204+N204-O204+P204-Q204-R204</f>
        <v>793454905617</v>
      </c>
      <c r="T204" s="73">
        <v>715282207896</v>
      </c>
      <c r="U204" s="73">
        <f>+S204-T204</f>
        <v>78172697721</v>
      </c>
      <c r="V204" s="75">
        <f t="shared" si="133"/>
        <v>0.90147808379833261</v>
      </c>
      <c r="W204" s="76">
        <v>709508617896</v>
      </c>
      <c r="X204" s="75">
        <f t="shared" si="194"/>
        <v>0.89420156441565846</v>
      </c>
      <c r="Y204" s="76">
        <v>709508617896</v>
      </c>
      <c r="Z204" s="75">
        <f t="shared" si="195"/>
        <v>0.89420156441565846</v>
      </c>
    </row>
    <row r="205" spans="1:26" ht="28.5" customHeight="1">
      <c r="A205" s="26" t="e">
        <f>+CONCATENATE(#REF!,"=",J205)</f>
        <v>#REF!</v>
      </c>
      <c r="B205" s="59" t="str">
        <f>CONCATENATE(C205,"-",D205,"-",E205,"-",F205,"-",G205,"-",H205)</f>
        <v>C-4103-1500-23-0-4103065</v>
      </c>
      <c r="C205" s="60" t="s">
        <v>170</v>
      </c>
      <c r="D205" s="61" t="s">
        <v>174</v>
      </c>
      <c r="E205" s="61" t="s">
        <v>175</v>
      </c>
      <c r="F205" s="61">
        <v>23</v>
      </c>
      <c r="G205" s="61" t="s">
        <v>178</v>
      </c>
      <c r="H205" s="61">
        <v>4103065</v>
      </c>
      <c r="I205" s="62"/>
      <c r="J205" s="63"/>
      <c r="K205" s="63" t="s">
        <v>159</v>
      </c>
      <c r="L205" s="59" t="s">
        <v>226</v>
      </c>
      <c r="M205" s="64">
        <f>SUM(M206)</f>
        <v>863700547104</v>
      </c>
      <c r="N205" s="64">
        <f t="shared" ref="N205:Y205" si="199">SUM(N206)</f>
        <v>0</v>
      </c>
      <c r="O205" s="64">
        <f t="shared" si="199"/>
        <v>0</v>
      </c>
      <c r="P205" s="64">
        <f t="shared" si="199"/>
        <v>0</v>
      </c>
      <c r="Q205" s="64">
        <f t="shared" si="199"/>
        <v>0</v>
      </c>
      <c r="R205" s="64">
        <f t="shared" si="199"/>
        <v>0</v>
      </c>
      <c r="S205" s="64">
        <f t="shared" si="199"/>
        <v>863700547104</v>
      </c>
      <c r="T205" s="64">
        <f t="shared" si="199"/>
        <v>863700547104</v>
      </c>
      <c r="U205" s="64">
        <f t="shared" si="199"/>
        <v>0</v>
      </c>
      <c r="V205" s="65">
        <f t="shared" si="133"/>
        <v>1</v>
      </c>
      <c r="W205" s="64">
        <f t="shared" si="199"/>
        <v>863700547104</v>
      </c>
      <c r="X205" s="65">
        <f t="shared" si="194"/>
        <v>1</v>
      </c>
      <c r="Y205" s="64">
        <f t="shared" si="199"/>
        <v>863700547104</v>
      </c>
      <c r="Z205" s="65">
        <f t="shared" si="195"/>
        <v>1</v>
      </c>
    </row>
    <row r="206" spans="1:26" ht="28.5" customHeight="1">
      <c r="A206" s="26" t="e">
        <f>+CONCATENATE(#REF!,"=",J206)</f>
        <v>#REF!</v>
      </c>
      <c r="B206" s="66" t="str">
        <f t="shared" si="198"/>
        <v>C-4103-1500-23-0-4103065-03</v>
      </c>
      <c r="C206" s="67" t="s">
        <v>170</v>
      </c>
      <c r="D206" s="68" t="s">
        <v>174</v>
      </c>
      <c r="E206" s="68" t="s">
        <v>175</v>
      </c>
      <c r="F206" s="68">
        <v>23</v>
      </c>
      <c r="G206" s="68" t="s">
        <v>178</v>
      </c>
      <c r="H206" s="68">
        <v>4103065</v>
      </c>
      <c r="I206" s="69" t="s">
        <v>71</v>
      </c>
      <c r="J206" s="70">
        <v>16</v>
      </c>
      <c r="K206" s="71" t="s">
        <v>159</v>
      </c>
      <c r="L206" s="72" t="s">
        <v>134</v>
      </c>
      <c r="M206" s="73">
        <v>863700547104</v>
      </c>
      <c r="N206" s="73"/>
      <c r="O206" s="73"/>
      <c r="P206" s="73"/>
      <c r="Q206" s="73"/>
      <c r="R206" s="74">
        <v>0</v>
      </c>
      <c r="S206" s="73">
        <f>+M206+N206-O206+P206-Q206-R206</f>
        <v>863700547104</v>
      </c>
      <c r="T206" s="73">
        <v>863700547104</v>
      </c>
      <c r="U206" s="73">
        <f>+S206-T206</f>
        <v>0</v>
      </c>
      <c r="V206" s="75">
        <f t="shared" si="133"/>
        <v>1</v>
      </c>
      <c r="W206" s="76">
        <v>863700547104</v>
      </c>
      <c r="X206" s="75">
        <f t="shared" si="194"/>
        <v>1</v>
      </c>
      <c r="Y206" s="76">
        <v>863700547104</v>
      </c>
      <c r="Z206" s="75">
        <f t="shared" si="195"/>
        <v>1</v>
      </c>
    </row>
    <row r="207" spans="1:26" ht="39.75" customHeight="1">
      <c r="A207" s="26" t="e">
        <f>+CONCATENATE(#REF!,"=",J207)</f>
        <v>#REF!</v>
      </c>
      <c r="B207" s="51" t="str">
        <f>CONCATENATE(C207,"-",D207,"-",E207,"-",F207)</f>
        <v>C-4103-1500-24</v>
      </c>
      <c r="C207" s="52" t="s">
        <v>170</v>
      </c>
      <c r="D207" s="53" t="s">
        <v>174</v>
      </c>
      <c r="E207" s="53" t="s">
        <v>175</v>
      </c>
      <c r="F207" s="53">
        <v>24</v>
      </c>
      <c r="G207" s="53"/>
      <c r="H207" s="53"/>
      <c r="I207" s="54"/>
      <c r="J207" s="55"/>
      <c r="K207" s="55"/>
      <c r="L207" s="51" t="s">
        <v>227</v>
      </c>
      <c r="M207" s="56">
        <f>+M208</f>
        <v>0</v>
      </c>
      <c r="N207" s="56">
        <f t="shared" ref="N207:U208" si="200">+N208</f>
        <v>0</v>
      </c>
      <c r="O207" s="56">
        <f t="shared" si="200"/>
        <v>0</v>
      </c>
      <c r="P207" s="56">
        <f t="shared" si="200"/>
        <v>107660000</v>
      </c>
      <c r="Q207" s="56">
        <f t="shared" si="200"/>
        <v>0</v>
      </c>
      <c r="R207" s="56">
        <f t="shared" si="200"/>
        <v>0</v>
      </c>
      <c r="S207" s="56">
        <f t="shared" si="200"/>
        <v>107660000</v>
      </c>
      <c r="T207" s="56">
        <f t="shared" si="200"/>
        <v>0</v>
      </c>
      <c r="U207" s="56">
        <f t="shared" si="200"/>
        <v>107660000</v>
      </c>
      <c r="V207" s="57">
        <f t="shared" si="133"/>
        <v>0</v>
      </c>
      <c r="W207" s="56">
        <f t="shared" ref="W207:W208" si="201">+W208</f>
        <v>0</v>
      </c>
      <c r="X207" s="57">
        <f t="shared" si="194"/>
        <v>0</v>
      </c>
      <c r="Y207" s="56">
        <f t="shared" ref="Y207:Y208" si="202">+Y208</f>
        <v>0</v>
      </c>
      <c r="Z207" s="57">
        <f t="shared" si="195"/>
        <v>0</v>
      </c>
    </row>
    <row r="208" spans="1:26" ht="36.75" customHeight="1">
      <c r="A208" s="26" t="e">
        <f>+CONCATENATE(#REF!,"=",J208)</f>
        <v>#REF!</v>
      </c>
      <c r="B208" s="59" t="str">
        <f>CONCATENATE(C208,"-",D208,"-",E208,"-",F208,"-",G208,"-",H208)</f>
        <v>C-4103-1500-24-0-4103061</v>
      </c>
      <c r="C208" s="60" t="s">
        <v>170</v>
      </c>
      <c r="D208" s="61" t="s">
        <v>174</v>
      </c>
      <c r="E208" s="61" t="s">
        <v>175</v>
      </c>
      <c r="F208" s="61">
        <v>24</v>
      </c>
      <c r="G208" s="61" t="s">
        <v>178</v>
      </c>
      <c r="H208" s="61">
        <v>4103061</v>
      </c>
      <c r="I208" s="62"/>
      <c r="J208" s="63"/>
      <c r="K208" s="63" t="s">
        <v>37</v>
      </c>
      <c r="L208" s="59" t="s">
        <v>217</v>
      </c>
      <c r="M208" s="64">
        <f>+M209</f>
        <v>0</v>
      </c>
      <c r="N208" s="64">
        <f t="shared" si="200"/>
        <v>0</v>
      </c>
      <c r="O208" s="64">
        <f t="shared" si="200"/>
        <v>0</v>
      </c>
      <c r="P208" s="64">
        <f t="shared" si="200"/>
        <v>107660000</v>
      </c>
      <c r="Q208" s="64">
        <f t="shared" si="200"/>
        <v>0</v>
      </c>
      <c r="R208" s="64">
        <f t="shared" si="200"/>
        <v>0</v>
      </c>
      <c r="S208" s="64">
        <f t="shared" si="200"/>
        <v>107660000</v>
      </c>
      <c r="T208" s="64">
        <f t="shared" si="200"/>
        <v>0</v>
      </c>
      <c r="U208" s="64">
        <f t="shared" si="200"/>
        <v>107660000</v>
      </c>
      <c r="V208" s="65">
        <f t="shared" si="133"/>
        <v>0</v>
      </c>
      <c r="W208" s="64">
        <f t="shared" si="201"/>
        <v>0</v>
      </c>
      <c r="X208" s="65">
        <f t="shared" si="194"/>
        <v>0</v>
      </c>
      <c r="Y208" s="64">
        <f t="shared" si="202"/>
        <v>0</v>
      </c>
      <c r="Z208" s="65">
        <f t="shared" si="195"/>
        <v>0</v>
      </c>
    </row>
    <row r="209" spans="1:26" ht="28.5" customHeight="1">
      <c r="A209" s="26" t="e">
        <f>+CONCATENATE(#REF!,"=",J209)</f>
        <v>#REF!</v>
      </c>
      <c r="B209" s="66" t="str">
        <f t="shared" ref="B209" si="203">CONCATENATE(C209,"-",D209,"-",E209,"-",F209,"-",G209,"-",H209,"-",I209)</f>
        <v>C-4103-1500-24-0-4103061-03</v>
      </c>
      <c r="C209" s="67" t="s">
        <v>170</v>
      </c>
      <c r="D209" s="68" t="s">
        <v>174</v>
      </c>
      <c r="E209" s="68" t="s">
        <v>175</v>
      </c>
      <c r="F209" s="68">
        <v>24</v>
      </c>
      <c r="G209" s="68" t="s">
        <v>178</v>
      </c>
      <c r="H209" s="68">
        <v>4103061</v>
      </c>
      <c r="I209" s="69" t="s">
        <v>71</v>
      </c>
      <c r="J209" s="70">
        <v>11</v>
      </c>
      <c r="K209" s="71" t="s">
        <v>37</v>
      </c>
      <c r="L209" s="72" t="s">
        <v>134</v>
      </c>
      <c r="M209" s="73"/>
      <c r="N209" s="73"/>
      <c r="O209" s="73"/>
      <c r="P209" s="73">
        <f>107660000</f>
        <v>107660000</v>
      </c>
      <c r="Q209" s="73"/>
      <c r="R209" s="74">
        <v>0</v>
      </c>
      <c r="S209" s="73">
        <f>+M209+N209-O209+P209-Q209-R209</f>
        <v>107660000</v>
      </c>
      <c r="T209" s="73"/>
      <c r="U209" s="73">
        <f>+S209-T209</f>
        <v>107660000</v>
      </c>
      <c r="V209" s="75">
        <f t="shared" si="133"/>
        <v>0</v>
      </c>
      <c r="W209" s="76"/>
      <c r="X209" s="75">
        <f t="shared" si="194"/>
        <v>0</v>
      </c>
      <c r="Y209" s="76"/>
      <c r="Z209" s="75">
        <f t="shared" si="195"/>
        <v>0</v>
      </c>
    </row>
    <row r="210" spans="1:26" ht="35.25" customHeight="1">
      <c r="A210" s="26" t="e">
        <f>+CONCATENATE(#REF!,"=",J210)</f>
        <v>#REF!</v>
      </c>
      <c r="B210" s="51" t="str">
        <f>CONCATENATE(C210,"-",D210,"-",E210,"-",F210)</f>
        <v>C-4103-1500-25</v>
      </c>
      <c r="C210" s="52" t="s">
        <v>170</v>
      </c>
      <c r="D210" s="53" t="s">
        <v>174</v>
      </c>
      <c r="E210" s="53" t="s">
        <v>175</v>
      </c>
      <c r="F210" s="53">
        <v>25</v>
      </c>
      <c r="G210" s="53"/>
      <c r="H210" s="53"/>
      <c r="I210" s="54"/>
      <c r="J210" s="55"/>
      <c r="K210" s="55"/>
      <c r="L210" s="51" t="s">
        <v>228</v>
      </c>
      <c r="M210" s="56">
        <f>+M211+M213</f>
        <v>5500000000</v>
      </c>
      <c r="N210" s="56">
        <f t="shared" ref="N210:U210" si="204">+N211+N213</f>
        <v>0</v>
      </c>
      <c r="O210" s="56">
        <f t="shared" si="204"/>
        <v>0</v>
      </c>
      <c r="P210" s="56">
        <f t="shared" si="204"/>
        <v>9713961358</v>
      </c>
      <c r="Q210" s="56">
        <f t="shared" si="204"/>
        <v>3586500000</v>
      </c>
      <c r="R210" s="56">
        <f t="shared" si="204"/>
        <v>0</v>
      </c>
      <c r="S210" s="56">
        <f t="shared" si="204"/>
        <v>11627461358</v>
      </c>
      <c r="T210" s="56">
        <f t="shared" si="204"/>
        <v>0</v>
      </c>
      <c r="U210" s="56">
        <f t="shared" si="204"/>
        <v>11627461358</v>
      </c>
      <c r="V210" s="57">
        <f t="shared" si="133"/>
        <v>0</v>
      </c>
      <c r="W210" s="58">
        <f t="shared" ref="W210" si="205">+W211+W213</f>
        <v>0</v>
      </c>
      <c r="X210" s="57">
        <f t="shared" si="194"/>
        <v>0</v>
      </c>
      <c r="Y210" s="58">
        <f t="shared" ref="Y210" si="206">+Y211+Y213</f>
        <v>0</v>
      </c>
      <c r="Z210" s="57">
        <f t="shared" si="195"/>
        <v>0</v>
      </c>
    </row>
    <row r="211" spans="1:26" ht="28.5" customHeight="1">
      <c r="A211" s="26" t="e">
        <f>+CONCATENATE(#REF!,"=",J211)</f>
        <v>#REF!</v>
      </c>
      <c r="B211" s="59" t="str">
        <f>CONCATENATE(C211,"-",D211,"-",E211,"-",F211,"-",G211,"-",H211)</f>
        <v>C-4103-1500-25-0-4103050</v>
      </c>
      <c r="C211" s="60" t="s">
        <v>170</v>
      </c>
      <c r="D211" s="61" t="s">
        <v>174</v>
      </c>
      <c r="E211" s="61" t="s">
        <v>175</v>
      </c>
      <c r="F211" s="61">
        <v>25</v>
      </c>
      <c r="G211" s="61" t="s">
        <v>178</v>
      </c>
      <c r="H211" s="61">
        <v>4103050</v>
      </c>
      <c r="I211" s="62"/>
      <c r="J211" s="63"/>
      <c r="K211" s="63" t="s">
        <v>37</v>
      </c>
      <c r="L211" s="59" t="s">
        <v>212</v>
      </c>
      <c r="M211" s="64">
        <f t="shared" ref="M211:U211" si="207">SUM(M212:M212)</f>
        <v>1283500000</v>
      </c>
      <c r="N211" s="64">
        <f t="shared" si="207"/>
        <v>0</v>
      </c>
      <c r="O211" s="64">
        <f t="shared" si="207"/>
        <v>0</v>
      </c>
      <c r="P211" s="64">
        <f t="shared" si="207"/>
        <v>1033728835</v>
      </c>
      <c r="Q211" s="64">
        <f t="shared" si="207"/>
        <v>0</v>
      </c>
      <c r="R211" s="64">
        <f t="shared" si="207"/>
        <v>0</v>
      </c>
      <c r="S211" s="64">
        <f t="shared" si="207"/>
        <v>2317228835</v>
      </c>
      <c r="T211" s="64">
        <f t="shared" si="207"/>
        <v>0</v>
      </c>
      <c r="U211" s="64">
        <f t="shared" si="207"/>
        <v>2317228835</v>
      </c>
      <c r="V211" s="65">
        <f t="shared" si="133"/>
        <v>0</v>
      </c>
      <c r="W211" s="64">
        <f>SUM(W212:W212)</f>
        <v>0</v>
      </c>
      <c r="X211" s="65">
        <f t="shared" si="194"/>
        <v>0</v>
      </c>
      <c r="Y211" s="64">
        <f>SUM(Y212:Y212)</f>
        <v>0</v>
      </c>
      <c r="Z211" s="65">
        <f t="shared" si="195"/>
        <v>0</v>
      </c>
    </row>
    <row r="212" spans="1:26" ht="28.5" customHeight="1">
      <c r="A212" s="26" t="e">
        <f>+CONCATENATE(#REF!,"=",J212)</f>
        <v>#REF!</v>
      </c>
      <c r="B212" s="66" t="str">
        <f t="shared" ref="B212" si="208">CONCATENATE(C212,"-",D212,"-",E212,"-",F212,"-",G212,"-",H212,"-",I212)</f>
        <v>C-4103-1500-25-0-4103050-02</v>
      </c>
      <c r="C212" s="67" t="s">
        <v>170</v>
      </c>
      <c r="D212" s="68" t="s">
        <v>174</v>
      </c>
      <c r="E212" s="68" t="s">
        <v>175</v>
      </c>
      <c r="F212" s="68">
        <v>25</v>
      </c>
      <c r="G212" s="68" t="s">
        <v>178</v>
      </c>
      <c r="H212" s="68">
        <v>4103050</v>
      </c>
      <c r="I212" s="69" t="s">
        <v>60</v>
      </c>
      <c r="J212" s="70">
        <v>11</v>
      </c>
      <c r="K212" s="71" t="s">
        <v>37</v>
      </c>
      <c r="L212" s="72" t="s">
        <v>86</v>
      </c>
      <c r="M212" s="73">
        <v>1283500000</v>
      </c>
      <c r="N212" s="73"/>
      <c r="O212" s="73"/>
      <c r="P212" s="73">
        <f>1033728835</f>
        <v>1033728835</v>
      </c>
      <c r="Q212" s="73"/>
      <c r="R212" s="74">
        <v>0</v>
      </c>
      <c r="S212" s="73">
        <f>+M212+N212-O212+P212-Q212-R212</f>
        <v>2317228835</v>
      </c>
      <c r="T212" s="73">
        <v>0</v>
      </c>
      <c r="U212" s="73">
        <f>+S212-T212</f>
        <v>2317228835</v>
      </c>
      <c r="V212" s="75">
        <f t="shared" si="133"/>
        <v>0</v>
      </c>
      <c r="W212" s="76">
        <v>0</v>
      </c>
      <c r="X212" s="75">
        <f t="shared" si="194"/>
        <v>0</v>
      </c>
      <c r="Y212" s="76">
        <v>0</v>
      </c>
      <c r="Z212" s="75">
        <f t="shared" si="195"/>
        <v>0</v>
      </c>
    </row>
    <row r="213" spans="1:26" ht="28.5" customHeight="1">
      <c r="A213" s="26" t="e">
        <f>+CONCATENATE(#REF!,"=",J213)</f>
        <v>#REF!</v>
      </c>
      <c r="B213" s="59" t="str">
        <f>CONCATENATE(C213,"-",D213,"-",E213,"-",F213,"-",G213,"-",H213)</f>
        <v>C-4103-1500-25-0-4103057</v>
      </c>
      <c r="C213" s="60" t="s">
        <v>170</v>
      </c>
      <c r="D213" s="61" t="s">
        <v>174</v>
      </c>
      <c r="E213" s="61" t="s">
        <v>175</v>
      </c>
      <c r="F213" s="61">
        <v>25</v>
      </c>
      <c r="G213" s="61" t="s">
        <v>178</v>
      </c>
      <c r="H213" s="61">
        <v>4103057</v>
      </c>
      <c r="I213" s="62"/>
      <c r="J213" s="63"/>
      <c r="K213" s="63" t="s">
        <v>37</v>
      </c>
      <c r="L213" s="59" t="s">
        <v>210</v>
      </c>
      <c r="M213" s="64">
        <f t="shared" ref="M213:U213" si="209">SUM(M214:M215)</f>
        <v>4216500000</v>
      </c>
      <c r="N213" s="64">
        <f t="shared" si="209"/>
        <v>0</v>
      </c>
      <c r="O213" s="64">
        <f t="shared" si="209"/>
        <v>0</v>
      </c>
      <c r="P213" s="64">
        <f t="shared" si="209"/>
        <v>8680232523</v>
      </c>
      <c r="Q213" s="64">
        <f t="shared" si="209"/>
        <v>3586500000</v>
      </c>
      <c r="R213" s="64">
        <f t="shared" si="209"/>
        <v>0</v>
      </c>
      <c r="S213" s="64">
        <f t="shared" si="209"/>
        <v>9310232523</v>
      </c>
      <c r="T213" s="64">
        <f t="shared" si="209"/>
        <v>0</v>
      </c>
      <c r="U213" s="64">
        <f t="shared" si="209"/>
        <v>9310232523</v>
      </c>
      <c r="V213" s="65">
        <f t="shared" si="133"/>
        <v>0</v>
      </c>
      <c r="W213" s="64">
        <f>SUM(W214:W215)</f>
        <v>0</v>
      </c>
      <c r="X213" s="65">
        <f t="shared" si="194"/>
        <v>0</v>
      </c>
      <c r="Y213" s="64">
        <f>SUM(Y214:Y215)</f>
        <v>0</v>
      </c>
      <c r="Z213" s="65">
        <f t="shared" si="195"/>
        <v>0</v>
      </c>
    </row>
    <row r="214" spans="1:26" ht="28.5" customHeight="1">
      <c r="A214" s="26" t="e">
        <f>+CONCATENATE(#REF!,"=",J214)</f>
        <v>#REF!</v>
      </c>
      <c r="B214" s="66" t="str">
        <f t="shared" ref="B214:B215" si="210">CONCATENATE(C214,"-",D214,"-",E214,"-",F214,"-",G214,"-",H214,"-",I214)</f>
        <v>C-4103-1500-25-0-4103057-02</v>
      </c>
      <c r="C214" s="67" t="s">
        <v>170</v>
      </c>
      <c r="D214" s="68" t="s">
        <v>174</v>
      </c>
      <c r="E214" s="68" t="s">
        <v>175</v>
      </c>
      <c r="F214" s="68">
        <v>25</v>
      </c>
      <c r="G214" s="68" t="s">
        <v>178</v>
      </c>
      <c r="H214" s="68">
        <v>4103057</v>
      </c>
      <c r="I214" s="69" t="s">
        <v>60</v>
      </c>
      <c r="J214" s="70">
        <v>11</v>
      </c>
      <c r="K214" s="71" t="s">
        <v>37</v>
      </c>
      <c r="L214" s="72" t="s">
        <v>86</v>
      </c>
      <c r="M214" s="73">
        <v>315000000</v>
      </c>
      <c r="N214" s="73"/>
      <c r="O214" s="73"/>
      <c r="P214" s="73">
        <f>3586500000+5093732523</f>
        <v>8680232523</v>
      </c>
      <c r="Q214" s="73"/>
      <c r="R214" s="74">
        <v>0</v>
      </c>
      <c r="S214" s="73">
        <f>+M214+N214-O214+P214-Q214-R214</f>
        <v>8995232523</v>
      </c>
      <c r="T214" s="73">
        <v>0</v>
      </c>
      <c r="U214" s="73">
        <f>+S214-T214</f>
        <v>8995232523</v>
      </c>
      <c r="V214" s="75">
        <f t="shared" si="133"/>
        <v>0</v>
      </c>
      <c r="W214" s="76">
        <v>0</v>
      </c>
      <c r="X214" s="75">
        <f t="shared" si="194"/>
        <v>0</v>
      </c>
      <c r="Y214" s="76">
        <v>0</v>
      </c>
      <c r="Z214" s="75">
        <f t="shared" si="195"/>
        <v>0</v>
      </c>
    </row>
    <row r="215" spans="1:26" ht="28.5" customHeight="1">
      <c r="A215" s="26" t="e">
        <f>+CONCATENATE(#REF!,"=",J215)</f>
        <v>#REF!</v>
      </c>
      <c r="B215" s="66" t="str">
        <f t="shared" si="210"/>
        <v>C-4103-1500-25-0-4103057-03</v>
      </c>
      <c r="C215" s="67" t="s">
        <v>170</v>
      </c>
      <c r="D215" s="68" t="s">
        <v>174</v>
      </c>
      <c r="E215" s="68" t="s">
        <v>175</v>
      </c>
      <c r="F215" s="68">
        <v>25</v>
      </c>
      <c r="G215" s="68" t="s">
        <v>178</v>
      </c>
      <c r="H215" s="68">
        <v>4103057</v>
      </c>
      <c r="I215" s="69" t="s">
        <v>71</v>
      </c>
      <c r="J215" s="70">
        <v>11</v>
      </c>
      <c r="K215" s="71" t="s">
        <v>37</v>
      </c>
      <c r="L215" s="72" t="s">
        <v>134</v>
      </c>
      <c r="M215" s="73">
        <v>3901500000</v>
      </c>
      <c r="N215" s="73"/>
      <c r="O215" s="73"/>
      <c r="P215" s="73"/>
      <c r="Q215" s="73">
        <v>3586500000</v>
      </c>
      <c r="R215" s="74">
        <v>0</v>
      </c>
      <c r="S215" s="73">
        <f>+M215+N215-O215+P215-Q215-R215</f>
        <v>315000000</v>
      </c>
      <c r="T215" s="73">
        <v>0</v>
      </c>
      <c r="U215" s="73">
        <f>+S215-T215</f>
        <v>315000000</v>
      </c>
      <c r="V215" s="75">
        <f t="shared" si="133"/>
        <v>0</v>
      </c>
      <c r="W215" s="76">
        <v>0</v>
      </c>
      <c r="X215" s="75">
        <f t="shared" si="194"/>
        <v>0</v>
      </c>
      <c r="Y215" s="76">
        <v>0</v>
      </c>
      <c r="Z215" s="75">
        <f t="shared" si="195"/>
        <v>0</v>
      </c>
    </row>
    <row r="216" spans="1:26" ht="31.5" customHeight="1">
      <c r="A216" s="26" t="e">
        <f>+CONCATENATE(#REF!,"=",J216)</f>
        <v>#REF!</v>
      </c>
      <c r="B216" s="51" t="str">
        <f>CONCATENATE(C216,"-",D216,"-",E216,"-",F216)</f>
        <v>C-4103-1500-26</v>
      </c>
      <c r="C216" s="52" t="s">
        <v>170</v>
      </c>
      <c r="D216" s="53" t="s">
        <v>174</v>
      </c>
      <c r="E216" s="53" t="s">
        <v>175</v>
      </c>
      <c r="F216" s="53">
        <v>26</v>
      </c>
      <c r="G216" s="53"/>
      <c r="H216" s="53"/>
      <c r="I216" s="54"/>
      <c r="J216" s="55"/>
      <c r="K216" s="55"/>
      <c r="L216" s="51" t="s">
        <v>229</v>
      </c>
      <c r="M216" s="56">
        <f>+M217+M219+M221+M223</f>
        <v>0</v>
      </c>
      <c r="N216" s="56">
        <f t="shared" ref="N216:U216" si="211">+N217+N219+N221+N223</f>
        <v>0</v>
      </c>
      <c r="O216" s="56">
        <f t="shared" si="211"/>
        <v>0</v>
      </c>
      <c r="P216" s="56">
        <f t="shared" si="211"/>
        <v>29090362137</v>
      </c>
      <c r="Q216" s="56">
        <f t="shared" si="211"/>
        <v>0</v>
      </c>
      <c r="R216" s="56">
        <f t="shared" si="211"/>
        <v>0</v>
      </c>
      <c r="S216" s="56">
        <f t="shared" si="211"/>
        <v>29090362137</v>
      </c>
      <c r="T216" s="56">
        <f t="shared" si="211"/>
        <v>29090362137</v>
      </c>
      <c r="U216" s="56">
        <f t="shared" si="211"/>
        <v>0</v>
      </c>
      <c r="V216" s="57">
        <f t="shared" si="133"/>
        <v>1</v>
      </c>
      <c r="W216" s="56">
        <f t="shared" ref="W216" si="212">+W217+W219+W221+W223</f>
        <v>0</v>
      </c>
      <c r="X216" s="57">
        <f t="shared" si="194"/>
        <v>0</v>
      </c>
      <c r="Y216" s="56">
        <f t="shared" ref="Y216" si="213">+Y217+Y219+Y221+Y223</f>
        <v>0</v>
      </c>
      <c r="Z216" s="57">
        <f t="shared" si="195"/>
        <v>0</v>
      </c>
    </row>
    <row r="217" spans="1:26" ht="28.5" customHeight="1">
      <c r="A217" s="26" t="e">
        <f>+CONCATENATE(#REF!,"=",J217)</f>
        <v>#REF!</v>
      </c>
      <c r="B217" s="59" t="str">
        <f>CONCATENATE(C217,"-",D217,"-",E217,"-",F217,"-",G217,"-",H217)</f>
        <v>C-4103-1500-26-0-4103051</v>
      </c>
      <c r="C217" s="60" t="s">
        <v>170</v>
      </c>
      <c r="D217" s="61" t="s">
        <v>174</v>
      </c>
      <c r="E217" s="61" t="s">
        <v>175</v>
      </c>
      <c r="F217" s="61">
        <v>26</v>
      </c>
      <c r="G217" s="61" t="s">
        <v>178</v>
      </c>
      <c r="H217" s="61">
        <v>4103051</v>
      </c>
      <c r="I217" s="62"/>
      <c r="J217" s="63"/>
      <c r="K217" s="63" t="s">
        <v>37</v>
      </c>
      <c r="L217" s="59" t="s">
        <v>186</v>
      </c>
      <c r="M217" s="64">
        <f>+M218</f>
        <v>0</v>
      </c>
      <c r="N217" s="64">
        <f t="shared" ref="N217:U217" si="214">+N218</f>
        <v>0</v>
      </c>
      <c r="O217" s="64">
        <f t="shared" si="214"/>
        <v>0</v>
      </c>
      <c r="P217" s="64">
        <f t="shared" si="214"/>
        <v>2349169046</v>
      </c>
      <c r="Q217" s="64">
        <f t="shared" si="214"/>
        <v>0</v>
      </c>
      <c r="R217" s="64">
        <f t="shared" si="214"/>
        <v>0</v>
      </c>
      <c r="S217" s="64">
        <f t="shared" si="214"/>
        <v>2349169046</v>
      </c>
      <c r="T217" s="64">
        <f t="shared" si="214"/>
        <v>2349169046</v>
      </c>
      <c r="U217" s="64">
        <f t="shared" si="214"/>
        <v>0</v>
      </c>
      <c r="V217" s="65">
        <f t="shared" si="133"/>
        <v>1</v>
      </c>
      <c r="W217" s="64">
        <f t="shared" ref="W217" si="215">+W218</f>
        <v>0</v>
      </c>
      <c r="X217" s="65">
        <f t="shared" si="194"/>
        <v>0</v>
      </c>
      <c r="Y217" s="64">
        <f t="shared" ref="Y217" si="216">+Y218</f>
        <v>0</v>
      </c>
      <c r="Z217" s="65">
        <f t="shared" si="195"/>
        <v>0</v>
      </c>
    </row>
    <row r="218" spans="1:26" ht="28.5" customHeight="1">
      <c r="A218" s="26" t="e">
        <f>+CONCATENATE(#REF!,"=",J218)</f>
        <v>#REF!</v>
      </c>
      <c r="B218" s="66" t="str">
        <f t="shared" ref="B218:B224" si="217">CONCATENATE(C218,"-",D218,"-",E218,"-",F218,"-",G218,"-",H218,"-",I218)</f>
        <v>C-4103-1500-26-0-4103051-02</v>
      </c>
      <c r="C218" s="67" t="s">
        <v>170</v>
      </c>
      <c r="D218" s="68" t="s">
        <v>174</v>
      </c>
      <c r="E218" s="68" t="s">
        <v>175</v>
      </c>
      <c r="F218" s="68">
        <v>26</v>
      </c>
      <c r="G218" s="68" t="s">
        <v>178</v>
      </c>
      <c r="H218" s="68">
        <v>4103051</v>
      </c>
      <c r="I218" s="69" t="s">
        <v>60</v>
      </c>
      <c r="J218" s="70">
        <v>11</v>
      </c>
      <c r="K218" s="71" t="s">
        <v>37</v>
      </c>
      <c r="L218" s="72" t="s">
        <v>86</v>
      </c>
      <c r="M218" s="73">
        <v>0</v>
      </c>
      <c r="N218" s="73">
        <v>0</v>
      </c>
      <c r="O218" s="73">
        <v>0</v>
      </c>
      <c r="P218" s="73">
        <v>2349169046</v>
      </c>
      <c r="Q218" s="73">
        <v>0</v>
      </c>
      <c r="R218" s="74">
        <v>0</v>
      </c>
      <c r="S218" s="73">
        <f>+M218+N218-O218+P218-Q218-R218</f>
        <v>2349169046</v>
      </c>
      <c r="T218" s="73">
        <v>2349169046</v>
      </c>
      <c r="U218" s="73">
        <f>+S218-T218</f>
        <v>0</v>
      </c>
      <c r="V218" s="75">
        <f t="shared" si="133"/>
        <v>1</v>
      </c>
      <c r="W218" s="76">
        <v>0</v>
      </c>
      <c r="X218" s="75">
        <f t="shared" si="194"/>
        <v>0</v>
      </c>
      <c r="Y218" s="76">
        <v>0</v>
      </c>
      <c r="Z218" s="75">
        <f t="shared" si="195"/>
        <v>0</v>
      </c>
    </row>
    <row r="219" spans="1:26" ht="28.5" customHeight="1">
      <c r="A219" s="26" t="e">
        <f>+CONCATENATE(#REF!,"=",J219)</f>
        <v>#REF!</v>
      </c>
      <c r="B219" s="59" t="str">
        <f>CONCATENATE(C219,"-",D219,"-",E219,"-",F219,"-",G219,"-",H219)</f>
        <v>C-4103-1500-26-0-4103053</v>
      </c>
      <c r="C219" s="60" t="s">
        <v>170</v>
      </c>
      <c r="D219" s="61" t="s">
        <v>174</v>
      </c>
      <c r="E219" s="61" t="s">
        <v>175</v>
      </c>
      <c r="F219" s="61">
        <v>26</v>
      </c>
      <c r="G219" s="61" t="s">
        <v>178</v>
      </c>
      <c r="H219" s="61" t="s">
        <v>187</v>
      </c>
      <c r="I219" s="62"/>
      <c r="J219" s="63"/>
      <c r="K219" s="63" t="s">
        <v>37</v>
      </c>
      <c r="L219" s="59" t="s">
        <v>188</v>
      </c>
      <c r="M219" s="64">
        <f>+M220</f>
        <v>0</v>
      </c>
      <c r="N219" s="64">
        <f t="shared" ref="N219:U219" si="218">+N220</f>
        <v>0</v>
      </c>
      <c r="O219" s="64">
        <f t="shared" si="218"/>
        <v>0</v>
      </c>
      <c r="P219" s="64">
        <f t="shared" si="218"/>
        <v>5770063062</v>
      </c>
      <c r="Q219" s="64">
        <f t="shared" si="218"/>
        <v>0</v>
      </c>
      <c r="R219" s="64">
        <f t="shared" si="218"/>
        <v>0</v>
      </c>
      <c r="S219" s="64">
        <f t="shared" si="218"/>
        <v>5770063062</v>
      </c>
      <c r="T219" s="64">
        <f t="shared" si="218"/>
        <v>5770063062</v>
      </c>
      <c r="U219" s="64">
        <f t="shared" si="218"/>
        <v>0</v>
      </c>
      <c r="V219" s="65">
        <f t="shared" si="133"/>
        <v>1</v>
      </c>
      <c r="W219" s="64">
        <f t="shared" ref="W219" si="219">+W220</f>
        <v>0</v>
      </c>
      <c r="X219" s="65">
        <f t="shared" si="194"/>
        <v>0</v>
      </c>
      <c r="Y219" s="64">
        <f t="shared" ref="Y219" si="220">+Y220</f>
        <v>0</v>
      </c>
      <c r="Z219" s="65">
        <f t="shared" si="195"/>
        <v>0</v>
      </c>
    </row>
    <row r="220" spans="1:26" ht="28.5" customHeight="1">
      <c r="A220" s="26" t="e">
        <f>+CONCATENATE(#REF!,"=",J220)</f>
        <v>#REF!</v>
      </c>
      <c r="B220" s="66" t="str">
        <f t="shared" si="217"/>
        <v>C-4103-1500-26-0-4103053-02</v>
      </c>
      <c r="C220" s="67" t="s">
        <v>170</v>
      </c>
      <c r="D220" s="68" t="s">
        <v>174</v>
      </c>
      <c r="E220" s="68" t="s">
        <v>175</v>
      </c>
      <c r="F220" s="68">
        <v>26</v>
      </c>
      <c r="G220" s="68" t="s">
        <v>178</v>
      </c>
      <c r="H220" s="68" t="s">
        <v>187</v>
      </c>
      <c r="I220" s="69" t="s">
        <v>60</v>
      </c>
      <c r="J220" s="70">
        <v>11</v>
      </c>
      <c r="K220" s="71" t="s">
        <v>37</v>
      </c>
      <c r="L220" s="72" t="s">
        <v>86</v>
      </c>
      <c r="M220" s="73">
        <v>0</v>
      </c>
      <c r="N220" s="73">
        <v>0</v>
      </c>
      <c r="O220" s="73">
        <v>0</v>
      </c>
      <c r="P220" s="73">
        <v>5770063062</v>
      </c>
      <c r="Q220" s="73">
        <v>0</v>
      </c>
      <c r="R220" s="74">
        <v>0</v>
      </c>
      <c r="S220" s="73">
        <f>+M220+N220-O220+P220-Q220-R220</f>
        <v>5770063062</v>
      </c>
      <c r="T220" s="73">
        <v>5770063062</v>
      </c>
      <c r="U220" s="73">
        <f>+S220-T220</f>
        <v>0</v>
      </c>
      <c r="V220" s="75">
        <f t="shared" si="133"/>
        <v>1</v>
      </c>
      <c r="W220" s="76">
        <v>0</v>
      </c>
      <c r="X220" s="75">
        <f t="shared" si="194"/>
        <v>0</v>
      </c>
      <c r="Y220" s="76">
        <v>0</v>
      </c>
      <c r="Z220" s="75">
        <f t="shared" si="195"/>
        <v>0</v>
      </c>
    </row>
    <row r="221" spans="1:26" ht="34.5" customHeight="1">
      <c r="A221" s="26" t="e">
        <f>+CONCATENATE(#REF!,"=",J221)</f>
        <v>#REF!</v>
      </c>
      <c r="B221" s="59" t="str">
        <f>CONCATENATE(C221,"-",D221,"-",E221,"-",F221,"-",G221,"-",H221)</f>
        <v>C-4103-1500-26-0-4103054</v>
      </c>
      <c r="C221" s="60" t="s">
        <v>170</v>
      </c>
      <c r="D221" s="61" t="s">
        <v>174</v>
      </c>
      <c r="E221" s="61" t="s">
        <v>175</v>
      </c>
      <c r="F221" s="61">
        <v>26</v>
      </c>
      <c r="G221" s="61" t="s">
        <v>178</v>
      </c>
      <c r="H221" s="61">
        <v>4103054</v>
      </c>
      <c r="I221" s="62"/>
      <c r="J221" s="63"/>
      <c r="K221" s="63" t="s">
        <v>37</v>
      </c>
      <c r="L221" s="59" t="s">
        <v>190</v>
      </c>
      <c r="M221" s="64">
        <f>+M222</f>
        <v>0</v>
      </c>
      <c r="N221" s="64">
        <f t="shared" ref="N221:U221" si="221">+N222</f>
        <v>0</v>
      </c>
      <c r="O221" s="64">
        <f t="shared" si="221"/>
        <v>0</v>
      </c>
      <c r="P221" s="64">
        <f t="shared" si="221"/>
        <v>1803408981</v>
      </c>
      <c r="Q221" s="64">
        <f t="shared" si="221"/>
        <v>0</v>
      </c>
      <c r="R221" s="64">
        <f t="shared" si="221"/>
        <v>0</v>
      </c>
      <c r="S221" s="64">
        <f t="shared" si="221"/>
        <v>1803408981</v>
      </c>
      <c r="T221" s="64">
        <f t="shared" si="221"/>
        <v>1803408981</v>
      </c>
      <c r="U221" s="64">
        <f t="shared" si="221"/>
        <v>0</v>
      </c>
      <c r="V221" s="65">
        <f t="shared" si="133"/>
        <v>1</v>
      </c>
      <c r="W221" s="64">
        <f t="shared" ref="W221" si="222">+W222</f>
        <v>0</v>
      </c>
      <c r="X221" s="65">
        <f t="shared" si="194"/>
        <v>0</v>
      </c>
      <c r="Y221" s="64">
        <f t="shared" ref="Y221" si="223">+Y222</f>
        <v>0</v>
      </c>
      <c r="Z221" s="65">
        <f t="shared" si="195"/>
        <v>0</v>
      </c>
    </row>
    <row r="222" spans="1:26" ht="28.5" customHeight="1">
      <c r="A222" s="26" t="e">
        <f>+CONCATENATE(#REF!,"=",J222)</f>
        <v>#REF!</v>
      </c>
      <c r="B222" s="66" t="str">
        <f t="shared" si="217"/>
        <v>C-4103-1500-26-0-4103054-02</v>
      </c>
      <c r="C222" s="67" t="s">
        <v>170</v>
      </c>
      <c r="D222" s="68" t="s">
        <v>174</v>
      </c>
      <c r="E222" s="68" t="s">
        <v>175</v>
      </c>
      <c r="F222" s="68">
        <v>26</v>
      </c>
      <c r="G222" s="68" t="s">
        <v>178</v>
      </c>
      <c r="H222" s="68">
        <v>4103054</v>
      </c>
      <c r="I222" s="69" t="s">
        <v>60</v>
      </c>
      <c r="J222" s="70">
        <v>11</v>
      </c>
      <c r="K222" s="71" t="s">
        <v>37</v>
      </c>
      <c r="L222" s="72" t="s">
        <v>86</v>
      </c>
      <c r="M222" s="73">
        <v>0</v>
      </c>
      <c r="N222" s="73">
        <v>0</v>
      </c>
      <c r="O222" s="73">
        <v>0</v>
      </c>
      <c r="P222" s="73">
        <v>1803408981</v>
      </c>
      <c r="Q222" s="73">
        <v>0</v>
      </c>
      <c r="R222" s="74">
        <v>0</v>
      </c>
      <c r="S222" s="73">
        <f>+M222+N222-O222+P222-Q222-R222</f>
        <v>1803408981</v>
      </c>
      <c r="T222" s="73">
        <v>1803408981</v>
      </c>
      <c r="U222" s="73">
        <f>+S222-T222</f>
        <v>0</v>
      </c>
      <c r="V222" s="75">
        <f t="shared" si="133"/>
        <v>1</v>
      </c>
      <c r="W222" s="76">
        <v>0</v>
      </c>
      <c r="X222" s="75">
        <f t="shared" si="194"/>
        <v>0</v>
      </c>
      <c r="Y222" s="76">
        <v>0</v>
      </c>
      <c r="Z222" s="75">
        <f t="shared" si="195"/>
        <v>0</v>
      </c>
    </row>
    <row r="223" spans="1:26" ht="33" customHeight="1">
      <c r="A223" s="26" t="e">
        <f>+CONCATENATE(#REF!,"=",J223)</f>
        <v>#REF!</v>
      </c>
      <c r="B223" s="59" t="str">
        <f>CONCATENATE(C223,"-",D223,"-",E223,"-",F223,"-",G223,"-",H223)</f>
        <v>C-4103-1500-26-0-4103055</v>
      </c>
      <c r="C223" s="60" t="s">
        <v>170</v>
      </c>
      <c r="D223" s="61" t="s">
        <v>174</v>
      </c>
      <c r="E223" s="61" t="s">
        <v>175</v>
      </c>
      <c r="F223" s="61">
        <v>26</v>
      </c>
      <c r="G223" s="61" t="s">
        <v>178</v>
      </c>
      <c r="H223" s="61">
        <v>4103055</v>
      </c>
      <c r="I223" s="62"/>
      <c r="J223" s="63"/>
      <c r="K223" s="63" t="s">
        <v>37</v>
      </c>
      <c r="L223" s="59" t="s">
        <v>192</v>
      </c>
      <c r="M223" s="64">
        <f>+M224</f>
        <v>0</v>
      </c>
      <c r="N223" s="64">
        <f t="shared" ref="N223:U223" si="224">+N224</f>
        <v>0</v>
      </c>
      <c r="O223" s="64">
        <f t="shared" si="224"/>
        <v>0</v>
      </c>
      <c r="P223" s="64">
        <f t="shared" si="224"/>
        <v>19167721048</v>
      </c>
      <c r="Q223" s="64">
        <f t="shared" si="224"/>
        <v>0</v>
      </c>
      <c r="R223" s="64">
        <f t="shared" si="224"/>
        <v>0</v>
      </c>
      <c r="S223" s="64">
        <f t="shared" si="224"/>
        <v>19167721048</v>
      </c>
      <c r="T223" s="64">
        <f t="shared" si="224"/>
        <v>19167721048</v>
      </c>
      <c r="U223" s="64">
        <f t="shared" si="224"/>
        <v>0</v>
      </c>
      <c r="V223" s="65">
        <f t="shared" si="133"/>
        <v>1</v>
      </c>
      <c r="W223" s="64">
        <f t="shared" ref="W223" si="225">+W224</f>
        <v>0</v>
      </c>
      <c r="X223" s="65">
        <f t="shared" si="194"/>
        <v>0</v>
      </c>
      <c r="Y223" s="64">
        <f t="shared" ref="Y223" si="226">+Y224</f>
        <v>0</v>
      </c>
      <c r="Z223" s="65">
        <f t="shared" si="195"/>
        <v>0</v>
      </c>
    </row>
    <row r="224" spans="1:26" ht="28.5" customHeight="1">
      <c r="A224" s="26" t="e">
        <f>+CONCATENATE(#REF!,"=",J224)</f>
        <v>#REF!</v>
      </c>
      <c r="B224" s="66" t="str">
        <f t="shared" si="217"/>
        <v>C-4103-1500-26-0-4103055-02</v>
      </c>
      <c r="C224" s="67" t="s">
        <v>170</v>
      </c>
      <c r="D224" s="68" t="s">
        <v>174</v>
      </c>
      <c r="E224" s="68" t="s">
        <v>175</v>
      </c>
      <c r="F224" s="68">
        <v>26</v>
      </c>
      <c r="G224" s="68" t="s">
        <v>178</v>
      </c>
      <c r="H224" s="68">
        <v>4103055</v>
      </c>
      <c r="I224" s="69" t="s">
        <v>60</v>
      </c>
      <c r="J224" s="70">
        <v>11</v>
      </c>
      <c r="K224" s="71" t="s">
        <v>37</v>
      </c>
      <c r="L224" s="72" t="s">
        <v>86</v>
      </c>
      <c r="M224" s="73">
        <v>0</v>
      </c>
      <c r="N224" s="73">
        <v>0</v>
      </c>
      <c r="O224" s="73">
        <v>0</v>
      </c>
      <c r="P224" s="73">
        <v>19167721048</v>
      </c>
      <c r="Q224" s="73">
        <v>0</v>
      </c>
      <c r="R224" s="74">
        <v>0</v>
      </c>
      <c r="S224" s="73">
        <f>+M224+N224-O224+P224-Q224-R224</f>
        <v>19167721048</v>
      </c>
      <c r="T224" s="73">
        <v>19167721048</v>
      </c>
      <c r="U224" s="73">
        <f>+S224-T224</f>
        <v>0</v>
      </c>
      <c r="V224" s="75">
        <f t="shared" si="133"/>
        <v>1</v>
      </c>
      <c r="W224" s="76">
        <v>0</v>
      </c>
      <c r="X224" s="75">
        <f t="shared" si="194"/>
        <v>0</v>
      </c>
      <c r="Y224" s="76">
        <v>0</v>
      </c>
      <c r="Z224" s="75">
        <f t="shared" si="195"/>
        <v>0</v>
      </c>
    </row>
    <row r="225" spans="1:26" ht="36.75" customHeight="1">
      <c r="A225" s="26" t="e">
        <f>+CONCATENATE(#REF!,"=",J225)</f>
        <v>#REF!</v>
      </c>
      <c r="B225" s="51" t="str">
        <f>CONCATENATE(C225,"-",D225,"-",E225,"-",F225)</f>
        <v>C-4103-1500-28</v>
      </c>
      <c r="C225" s="52" t="s">
        <v>170</v>
      </c>
      <c r="D225" s="53" t="s">
        <v>174</v>
      </c>
      <c r="E225" s="53" t="s">
        <v>175</v>
      </c>
      <c r="F225" s="53">
        <v>28</v>
      </c>
      <c r="G225" s="53"/>
      <c r="H225" s="53"/>
      <c r="I225" s="54"/>
      <c r="J225" s="55"/>
      <c r="K225" s="55"/>
      <c r="L225" s="51" t="s">
        <v>230</v>
      </c>
      <c r="M225" s="56">
        <f>+M226+M229</f>
        <v>0</v>
      </c>
      <c r="N225" s="56">
        <f t="shared" ref="N225:O225" si="227">+N226+N229</f>
        <v>0</v>
      </c>
      <c r="O225" s="56">
        <f t="shared" si="227"/>
        <v>0</v>
      </c>
      <c r="P225" s="56">
        <f>+P226+P229</f>
        <v>56647834029</v>
      </c>
      <c r="Q225" s="56">
        <f t="shared" ref="Q225:U225" si="228">+Q226+Q229</f>
        <v>0</v>
      </c>
      <c r="R225" s="56">
        <f t="shared" si="228"/>
        <v>0</v>
      </c>
      <c r="S225" s="56">
        <f t="shared" si="228"/>
        <v>56647834029</v>
      </c>
      <c r="T225" s="56">
        <f t="shared" si="228"/>
        <v>0</v>
      </c>
      <c r="U225" s="56">
        <f t="shared" si="228"/>
        <v>56647834029</v>
      </c>
      <c r="V225" s="57">
        <f t="shared" si="133"/>
        <v>0</v>
      </c>
      <c r="W225" s="56">
        <f t="shared" ref="W225" si="229">+W226+W229</f>
        <v>0</v>
      </c>
      <c r="X225" s="57">
        <f t="shared" si="194"/>
        <v>0</v>
      </c>
      <c r="Y225" s="56">
        <f t="shared" ref="Y225" si="230">+Y226+Y229</f>
        <v>0</v>
      </c>
      <c r="Z225" s="57">
        <f t="shared" si="195"/>
        <v>0</v>
      </c>
    </row>
    <row r="226" spans="1:26" ht="33" customHeight="1">
      <c r="A226" s="26" t="e">
        <f>+CONCATENATE(#REF!,"=",J226)</f>
        <v>#REF!</v>
      </c>
      <c r="B226" s="59" t="str">
        <f>CONCATENATE(C226,"-",D226,"-",E226,"-",F226,"-",G226,"-",H226)</f>
        <v>C-4103-1500-28-0-4103016</v>
      </c>
      <c r="C226" s="60" t="s">
        <v>170</v>
      </c>
      <c r="D226" s="61" t="s">
        <v>174</v>
      </c>
      <c r="E226" s="61" t="s">
        <v>175</v>
      </c>
      <c r="F226" s="61">
        <v>28</v>
      </c>
      <c r="G226" s="61" t="s">
        <v>178</v>
      </c>
      <c r="H226" s="61" t="s">
        <v>195</v>
      </c>
      <c r="I226" s="62"/>
      <c r="J226" s="63"/>
      <c r="K226" s="63"/>
      <c r="L226" s="59" t="s">
        <v>196</v>
      </c>
      <c r="M226" s="64">
        <f>SUM(M227:M228)</f>
        <v>0</v>
      </c>
      <c r="N226" s="64">
        <f t="shared" ref="N226:U226" si="231">SUM(N227:N228)</f>
        <v>0</v>
      </c>
      <c r="O226" s="64">
        <f t="shared" si="231"/>
        <v>0</v>
      </c>
      <c r="P226" s="64">
        <f t="shared" si="231"/>
        <v>52116007307</v>
      </c>
      <c r="Q226" s="64">
        <f t="shared" si="231"/>
        <v>0</v>
      </c>
      <c r="R226" s="64">
        <f t="shared" si="231"/>
        <v>0</v>
      </c>
      <c r="S226" s="64">
        <f t="shared" si="231"/>
        <v>52116007307</v>
      </c>
      <c r="T226" s="64">
        <f t="shared" si="231"/>
        <v>0</v>
      </c>
      <c r="U226" s="64">
        <f t="shared" si="231"/>
        <v>52116007307</v>
      </c>
      <c r="V226" s="65">
        <f t="shared" si="133"/>
        <v>0</v>
      </c>
      <c r="W226" s="64">
        <f t="shared" ref="W226" si="232">SUM(W227:W228)</f>
        <v>0</v>
      </c>
      <c r="X226" s="65">
        <f t="shared" si="194"/>
        <v>0</v>
      </c>
      <c r="Y226" s="64">
        <f t="shared" ref="Y226" si="233">SUM(Y227:Y228)</f>
        <v>0</v>
      </c>
      <c r="Z226" s="65">
        <f t="shared" si="195"/>
        <v>0</v>
      </c>
    </row>
    <row r="227" spans="1:26" ht="28.5" customHeight="1">
      <c r="A227" s="26" t="e">
        <f>+CONCATENATE(#REF!,"=",J227)</f>
        <v>#REF!</v>
      </c>
      <c r="B227" s="66" t="str">
        <f t="shared" ref="B227:B228" si="234">CONCATENATE(C227,"-",D227,"-",E227,"-",F227,"-",G227,"-",H227,"-",I227)</f>
        <v>C-4103-1500-28-0-4103016-02</v>
      </c>
      <c r="C227" s="67" t="s">
        <v>170</v>
      </c>
      <c r="D227" s="68" t="s">
        <v>174</v>
      </c>
      <c r="E227" s="68" t="s">
        <v>175</v>
      </c>
      <c r="F227" s="68">
        <v>28</v>
      </c>
      <c r="G227" s="68" t="s">
        <v>178</v>
      </c>
      <c r="H227" s="68" t="s">
        <v>195</v>
      </c>
      <c r="I227" s="69" t="s">
        <v>60</v>
      </c>
      <c r="J227" s="70">
        <v>11</v>
      </c>
      <c r="K227" s="71" t="s">
        <v>37</v>
      </c>
      <c r="L227" s="72" t="s">
        <v>86</v>
      </c>
      <c r="M227" s="73"/>
      <c r="N227" s="73"/>
      <c r="O227" s="73"/>
      <c r="P227" s="74">
        <v>4531826722</v>
      </c>
      <c r="Q227" s="77"/>
      <c r="R227" s="74">
        <v>0</v>
      </c>
      <c r="S227" s="90">
        <f>+M227-R227+N227-O227+P227-Q227</f>
        <v>4531826722</v>
      </c>
      <c r="T227" s="73"/>
      <c r="U227" s="73">
        <f t="shared" ref="U227:U228" si="235">+S227-T227</f>
        <v>4531826722</v>
      </c>
      <c r="V227" s="75">
        <f t="shared" si="133"/>
        <v>0</v>
      </c>
      <c r="W227" s="76"/>
      <c r="X227" s="75">
        <f t="shared" si="194"/>
        <v>0</v>
      </c>
      <c r="Y227" s="76"/>
      <c r="Z227" s="75">
        <f t="shared" si="195"/>
        <v>0</v>
      </c>
    </row>
    <row r="228" spans="1:26" ht="28.5" customHeight="1">
      <c r="A228" s="26" t="e">
        <f>+CONCATENATE(#REF!,"=",J228)</f>
        <v>#REF!</v>
      </c>
      <c r="B228" s="66" t="str">
        <f t="shared" si="234"/>
        <v>C-4103-1500-28-0-4103016-03</v>
      </c>
      <c r="C228" s="67" t="s">
        <v>170</v>
      </c>
      <c r="D228" s="68" t="s">
        <v>174</v>
      </c>
      <c r="E228" s="68" t="s">
        <v>175</v>
      </c>
      <c r="F228" s="68">
        <v>28</v>
      </c>
      <c r="G228" s="68" t="s">
        <v>178</v>
      </c>
      <c r="H228" s="68" t="s">
        <v>195</v>
      </c>
      <c r="I228" s="69" t="s">
        <v>71</v>
      </c>
      <c r="J228" s="70">
        <v>11</v>
      </c>
      <c r="K228" s="71" t="s">
        <v>37</v>
      </c>
      <c r="L228" s="72" t="s">
        <v>134</v>
      </c>
      <c r="M228" s="73"/>
      <c r="N228" s="73"/>
      <c r="O228" s="73"/>
      <c r="P228" s="74">
        <v>47584180585</v>
      </c>
      <c r="Q228" s="77"/>
      <c r="R228" s="74">
        <v>0</v>
      </c>
      <c r="S228" s="90">
        <f>+M228-R228+N228-O228+P228-Q228</f>
        <v>47584180585</v>
      </c>
      <c r="T228" s="73"/>
      <c r="U228" s="73">
        <f t="shared" si="235"/>
        <v>47584180585</v>
      </c>
      <c r="V228" s="75">
        <f t="shared" si="133"/>
        <v>0</v>
      </c>
      <c r="W228" s="76"/>
      <c r="X228" s="75">
        <f t="shared" si="194"/>
        <v>0</v>
      </c>
      <c r="Y228" s="76"/>
      <c r="Z228" s="75">
        <f t="shared" si="195"/>
        <v>0</v>
      </c>
    </row>
    <row r="229" spans="1:26" ht="33" customHeight="1">
      <c r="A229" s="26" t="e">
        <f>+CONCATENATE(#REF!,"=",J229)</f>
        <v>#REF!</v>
      </c>
      <c r="B229" s="59" t="str">
        <f>CONCATENATE(C229,"-",D229,"-",E229,"-",F229,"-",G229,"-",H229)</f>
        <v>C-4103-1500-28-0-4103073</v>
      </c>
      <c r="C229" s="60" t="s">
        <v>170</v>
      </c>
      <c r="D229" s="61" t="s">
        <v>174</v>
      </c>
      <c r="E229" s="61" t="s">
        <v>175</v>
      </c>
      <c r="F229" s="61">
        <v>28</v>
      </c>
      <c r="G229" s="61" t="s">
        <v>178</v>
      </c>
      <c r="H229" s="61">
        <v>4103073</v>
      </c>
      <c r="I229" s="62"/>
      <c r="J229" s="63"/>
      <c r="K229" s="63" t="s">
        <v>37</v>
      </c>
      <c r="L229" s="59" t="s">
        <v>231</v>
      </c>
      <c r="M229" s="64">
        <f t="shared" ref="M229:U229" si="236">SUM(M230:M230)</f>
        <v>0</v>
      </c>
      <c r="N229" s="64">
        <f t="shared" si="236"/>
        <v>0</v>
      </c>
      <c r="O229" s="64">
        <f t="shared" si="236"/>
        <v>0</v>
      </c>
      <c r="P229" s="64">
        <f t="shared" si="236"/>
        <v>4531826722</v>
      </c>
      <c r="Q229" s="64">
        <f t="shared" si="236"/>
        <v>0</v>
      </c>
      <c r="R229" s="64">
        <f t="shared" si="236"/>
        <v>0</v>
      </c>
      <c r="S229" s="64">
        <f t="shared" si="236"/>
        <v>4531826722</v>
      </c>
      <c r="T229" s="64">
        <f t="shared" si="236"/>
        <v>0</v>
      </c>
      <c r="U229" s="64">
        <f t="shared" si="236"/>
        <v>4531826722</v>
      </c>
      <c r="V229" s="65">
        <f t="shared" si="133"/>
        <v>0</v>
      </c>
      <c r="W229" s="64">
        <f>SUM(W230:W230)</f>
        <v>0</v>
      </c>
      <c r="X229" s="65">
        <f t="shared" si="194"/>
        <v>0</v>
      </c>
      <c r="Y229" s="64">
        <f>SUM(Y230:Y230)</f>
        <v>0</v>
      </c>
      <c r="Z229" s="65">
        <f t="shared" si="195"/>
        <v>0</v>
      </c>
    </row>
    <row r="230" spans="1:26" ht="28.5" customHeight="1">
      <c r="A230" s="26" t="e">
        <f>+CONCATENATE(#REF!,"=",J230)</f>
        <v>#REF!</v>
      </c>
      <c r="B230" s="66" t="str">
        <f t="shared" ref="B230" si="237">CONCATENATE(C230,"-",D230,"-",E230,"-",F230,"-",G230,"-",H230,"-",I230)</f>
        <v>C-4103-1500-28-0-4103073-02</v>
      </c>
      <c r="C230" s="67" t="s">
        <v>170</v>
      </c>
      <c r="D230" s="68" t="s">
        <v>174</v>
      </c>
      <c r="E230" s="68" t="s">
        <v>175</v>
      </c>
      <c r="F230" s="68">
        <v>28</v>
      </c>
      <c r="G230" s="68" t="s">
        <v>178</v>
      </c>
      <c r="H230" s="68">
        <v>4103073</v>
      </c>
      <c r="I230" s="69" t="s">
        <v>60</v>
      </c>
      <c r="J230" s="70">
        <v>11</v>
      </c>
      <c r="K230" s="71" t="s">
        <v>37</v>
      </c>
      <c r="L230" s="72" t="s">
        <v>86</v>
      </c>
      <c r="M230" s="73"/>
      <c r="N230" s="73"/>
      <c r="O230" s="73"/>
      <c r="P230" s="74">
        <v>4531826722</v>
      </c>
      <c r="Q230" s="74"/>
      <c r="R230" s="74">
        <v>0</v>
      </c>
      <c r="S230" s="90">
        <f>+M230-R230+N230-O230+P230-Q230</f>
        <v>4531826722</v>
      </c>
      <c r="T230" s="73"/>
      <c r="U230" s="73">
        <f t="shared" ref="U230" si="238">+S230-T230</f>
        <v>4531826722</v>
      </c>
      <c r="V230" s="75">
        <f t="shared" si="133"/>
        <v>0</v>
      </c>
      <c r="W230" s="76"/>
      <c r="X230" s="75">
        <f t="shared" si="194"/>
        <v>0</v>
      </c>
      <c r="Y230" s="76"/>
      <c r="Z230" s="75">
        <f t="shared" si="195"/>
        <v>0</v>
      </c>
    </row>
    <row r="231" spans="1:26" ht="45" customHeight="1">
      <c r="A231" s="26" t="e">
        <f>+CONCATENATE(#REF!,"=",J231)</f>
        <v>#REF!</v>
      </c>
      <c r="B231" s="51" t="str">
        <f>CONCATENATE(C231,"-",D231,"-",E231,"-",F231)</f>
        <v>C-4103-1500-32</v>
      </c>
      <c r="C231" s="52" t="s">
        <v>170</v>
      </c>
      <c r="D231" s="53" t="s">
        <v>174</v>
      </c>
      <c r="E231" s="53" t="s">
        <v>175</v>
      </c>
      <c r="F231" s="53">
        <v>32</v>
      </c>
      <c r="G231" s="53"/>
      <c r="H231" s="53"/>
      <c r="I231" s="54"/>
      <c r="J231" s="55"/>
      <c r="K231" s="55"/>
      <c r="L231" s="51" t="s">
        <v>232</v>
      </c>
      <c r="M231" s="56">
        <f>+M232</f>
        <v>0</v>
      </c>
      <c r="N231" s="56">
        <f t="shared" ref="N231:U231" si="239">+N232</f>
        <v>0</v>
      </c>
      <c r="O231" s="56">
        <f t="shared" si="239"/>
        <v>0</v>
      </c>
      <c r="P231" s="56">
        <f t="shared" si="239"/>
        <v>3826916560</v>
      </c>
      <c r="Q231" s="56">
        <f t="shared" si="239"/>
        <v>0</v>
      </c>
      <c r="R231" s="56">
        <f t="shared" si="239"/>
        <v>0</v>
      </c>
      <c r="S231" s="56">
        <f t="shared" si="239"/>
        <v>3826916560</v>
      </c>
      <c r="T231" s="56">
        <f t="shared" si="239"/>
        <v>3826916560</v>
      </c>
      <c r="U231" s="56">
        <f t="shared" si="239"/>
        <v>0</v>
      </c>
      <c r="V231" s="57">
        <f t="shared" si="133"/>
        <v>1</v>
      </c>
      <c r="W231" s="56">
        <f t="shared" ref="W231" si="240">+W232</f>
        <v>0</v>
      </c>
      <c r="X231" s="57">
        <f t="shared" si="194"/>
        <v>0</v>
      </c>
      <c r="Y231" s="56">
        <f t="shared" ref="Y231" si="241">+Y232</f>
        <v>0</v>
      </c>
      <c r="Z231" s="57">
        <f t="shared" si="195"/>
        <v>0</v>
      </c>
    </row>
    <row r="232" spans="1:26" ht="34.5" customHeight="1">
      <c r="A232" s="26" t="e">
        <f>+CONCATENATE(#REF!,"=",J232)</f>
        <v>#REF!</v>
      </c>
      <c r="B232" s="59" t="str">
        <f>CONCATENATE(C232,"-",D232,"-",E232,"-",F232,"-",G232,"-",H232)</f>
        <v>C-4103-1500-32-0-4103076</v>
      </c>
      <c r="C232" s="60" t="s">
        <v>170</v>
      </c>
      <c r="D232" s="61" t="s">
        <v>174</v>
      </c>
      <c r="E232" s="61" t="s">
        <v>175</v>
      </c>
      <c r="F232" s="61">
        <v>32</v>
      </c>
      <c r="G232" s="61" t="s">
        <v>178</v>
      </c>
      <c r="H232" s="61">
        <v>4103076</v>
      </c>
      <c r="I232" s="62"/>
      <c r="J232" s="63"/>
      <c r="K232" s="63"/>
      <c r="L232" s="59" t="s">
        <v>233</v>
      </c>
      <c r="M232" s="64">
        <f>SUM(M233:M233)</f>
        <v>0</v>
      </c>
      <c r="N232" s="64">
        <f t="shared" ref="N232:U232" si="242">SUM(N233:N233)</f>
        <v>0</v>
      </c>
      <c r="O232" s="64">
        <f t="shared" si="242"/>
        <v>0</v>
      </c>
      <c r="P232" s="64">
        <f t="shared" si="242"/>
        <v>3826916560</v>
      </c>
      <c r="Q232" s="64">
        <f>SUM(Q233:Q233)</f>
        <v>0</v>
      </c>
      <c r="R232" s="64">
        <f t="shared" si="242"/>
        <v>0</v>
      </c>
      <c r="S232" s="64">
        <f t="shared" si="242"/>
        <v>3826916560</v>
      </c>
      <c r="T232" s="64">
        <f t="shared" si="242"/>
        <v>3826916560</v>
      </c>
      <c r="U232" s="64">
        <f t="shared" si="242"/>
        <v>0</v>
      </c>
      <c r="V232" s="65">
        <f t="shared" si="133"/>
        <v>1</v>
      </c>
      <c r="W232" s="64">
        <f t="shared" ref="W232" si="243">SUM(W233:W233)</f>
        <v>0</v>
      </c>
      <c r="X232" s="65">
        <f t="shared" si="194"/>
        <v>0</v>
      </c>
      <c r="Y232" s="64">
        <f t="shared" ref="Y232" si="244">SUM(Y233:Y233)</f>
        <v>0</v>
      </c>
      <c r="Z232" s="65">
        <f t="shared" si="195"/>
        <v>0</v>
      </c>
    </row>
    <row r="233" spans="1:26" ht="28.5" customHeight="1">
      <c r="A233" s="26" t="e">
        <f>+CONCATENATE(#REF!,"=",J233)</f>
        <v>#REF!</v>
      </c>
      <c r="B233" s="66" t="str">
        <f t="shared" ref="B233" si="245">CONCATENATE(C233,"-",D233,"-",E233,"-",F233,"-",G233,"-",H233,"-",I233)</f>
        <v>C-4103-1500-32-0-4103076-06</v>
      </c>
      <c r="C233" s="67" t="s">
        <v>170</v>
      </c>
      <c r="D233" s="68" t="s">
        <v>174</v>
      </c>
      <c r="E233" s="68" t="s">
        <v>175</v>
      </c>
      <c r="F233" s="68">
        <v>32</v>
      </c>
      <c r="G233" s="68" t="s">
        <v>178</v>
      </c>
      <c r="H233" s="68">
        <v>4103076</v>
      </c>
      <c r="I233" s="111" t="s">
        <v>234</v>
      </c>
      <c r="J233" s="70">
        <v>10</v>
      </c>
      <c r="K233" s="71" t="s">
        <v>37</v>
      </c>
      <c r="L233" s="72" t="s">
        <v>235</v>
      </c>
      <c r="M233" s="73"/>
      <c r="N233" s="73"/>
      <c r="O233" s="73"/>
      <c r="P233" s="112">
        <v>3826916560</v>
      </c>
      <c r="Q233" s="77"/>
      <c r="R233" s="74">
        <v>0</v>
      </c>
      <c r="S233" s="90">
        <f>+M233-R233+N233-O233+P233-Q233</f>
        <v>3826916560</v>
      </c>
      <c r="T233" s="73">
        <v>3826916560</v>
      </c>
      <c r="U233" s="73">
        <f t="shared" ref="U233" si="246">+S233-T233</f>
        <v>0</v>
      </c>
      <c r="V233" s="75">
        <f t="shared" si="133"/>
        <v>1</v>
      </c>
      <c r="W233" s="76"/>
      <c r="X233" s="75">
        <f t="shared" si="194"/>
        <v>0</v>
      </c>
      <c r="Y233" s="76"/>
      <c r="Z233" s="75">
        <f t="shared" si="195"/>
        <v>0</v>
      </c>
    </row>
    <row r="234" spans="1:26" ht="45" customHeight="1">
      <c r="A234" s="26" t="e">
        <f>+CONCATENATE(#REF!,"=",J234)</f>
        <v>#REF!</v>
      </c>
      <c r="B234" s="51" t="str">
        <f>CONCATENATE(C234,"-",D234,"-",E234,"-",F234)</f>
        <v>C-4103-1500-33</v>
      </c>
      <c r="C234" s="52" t="s">
        <v>170</v>
      </c>
      <c r="D234" s="53" t="s">
        <v>174</v>
      </c>
      <c r="E234" s="53" t="s">
        <v>175</v>
      </c>
      <c r="F234" s="53">
        <v>33</v>
      </c>
      <c r="G234" s="53"/>
      <c r="H234" s="53"/>
      <c r="I234" s="54"/>
      <c r="J234" s="55"/>
      <c r="K234" s="55"/>
      <c r="L234" s="51" t="s">
        <v>236</v>
      </c>
      <c r="M234" s="56">
        <f>+M235</f>
        <v>0</v>
      </c>
      <c r="N234" s="56">
        <f t="shared" ref="N234:U234" si="247">+N235</f>
        <v>0</v>
      </c>
      <c r="O234" s="56">
        <f t="shared" si="247"/>
        <v>0</v>
      </c>
      <c r="P234" s="56">
        <f t="shared" si="247"/>
        <v>2700000000</v>
      </c>
      <c r="Q234" s="56">
        <f t="shared" si="247"/>
        <v>0</v>
      </c>
      <c r="R234" s="56">
        <f t="shared" si="247"/>
        <v>0</v>
      </c>
      <c r="S234" s="56">
        <f t="shared" si="247"/>
        <v>2700000000</v>
      </c>
      <c r="T234" s="56">
        <f t="shared" si="247"/>
        <v>2394341198.1100001</v>
      </c>
      <c r="U234" s="56">
        <f t="shared" si="247"/>
        <v>305658801.88999987</v>
      </c>
      <c r="V234" s="57">
        <f t="shared" si="133"/>
        <v>0.8867930363370371</v>
      </c>
      <c r="W234" s="56">
        <f t="shared" ref="W234" si="248">+W235</f>
        <v>0</v>
      </c>
      <c r="X234" s="57">
        <f t="shared" si="194"/>
        <v>0</v>
      </c>
      <c r="Y234" s="56">
        <f t="shared" ref="Y234" si="249">+Y235</f>
        <v>0</v>
      </c>
      <c r="Z234" s="57">
        <f t="shared" si="195"/>
        <v>0</v>
      </c>
    </row>
    <row r="235" spans="1:26" ht="33" customHeight="1">
      <c r="A235" s="26" t="e">
        <f>+CONCATENATE(#REF!,"=",J235)</f>
        <v>#REF!</v>
      </c>
      <c r="B235" s="59" t="str">
        <f>CONCATENATE(C235,"-",D235,"-",E235,"-",F235,"-",G235,"-",H235)</f>
        <v>C-4103-1500-33-0-4103073</v>
      </c>
      <c r="C235" s="60" t="s">
        <v>170</v>
      </c>
      <c r="D235" s="61" t="s">
        <v>174</v>
      </c>
      <c r="E235" s="61" t="s">
        <v>175</v>
      </c>
      <c r="F235" s="61">
        <v>33</v>
      </c>
      <c r="G235" s="61" t="s">
        <v>178</v>
      </c>
      <c r="H235" s="61">
        <v>4103073</v>
      </c>
      <c r="I235" s="62"/>
      <c r="J235" s="63"/>
      <c r="K235" s="63" t="s">
        <v>37</v>
      </c>
      <c r="L235" s="59" t="s">
        <v>231</v>
      </c>
      <c r="M235" s="64">
        <f t="shared" ref="M235:U235" si="250">SUM(M236:M236)</f>
        <v>0</v>
      </c>
      <c r="N235" s="64">
        <f t="shared" si="250"/>
        <v>0</v>
      </c>
      <c r="O235" s="64">
        <f t="shared" si="250"/>
        <v>0</v>
      </c>
      <c r="P235" s="64">
        <f t="shared" si="250"/>
        <v>2700000000</v>
      </c>
      <c r="Q235" s="64">
        <f t="shared" si="250"/>
        <v>0</v>
      </c>
      <c r="R235" s="64">
        <f t="shared" si="250"/>
        <v>0</v>
      </c>
      <c r="S235" s="64">
        <f t="shared" si="250"/>
        <v>2700000000</v>
      </c>
      <c r="T235" s="64">
        <f t="shared" si="250"/>
        <v>2394341198.1100001</v>
      </c>
      <c r="U235" s="64">
        <f t="shared" si="250"/>
        <v>305658801.88999987</v>
      </c>
      <c r="V235" s="65">
        <f t="shared" si="133"/>
        <v>0.8867930363370371</v>
      </c>
      <c r="W235" s="64">
        <f>SUM(W236:W236)</f>
        <v>0</v>
      </c>
      <c r="X235" s="65">
        <f t="shared" si="194"/>
        <v>0</v>
      </c>
      <c r="Y235" s="64">
        <f>SUM(Y236:Y236)</f>
        <v>0</v>
      </c>
      <c r="Z235" s="65">
        <f t="shared" si="195"/>
        <v>0</v>
      </c>
    </row>
    <row r="236" spans="1:26" ht="28.5" customHeight="1">
      <c r="A236" s="26" t="e">
        <f>+CONCATENATE(#REF!,"=",J236)</f>
        <v>#REF!</v>
      </c>
      <c r="B236" s="66" t="str">
        <f t="shared" ref="B236" si="251">CONCATENATE(C236,"-",D236,"-",E236,"-",F236,"-",G236,"-",H236,"-",I236)</f>
        <v>C-4103-1500-33-0-4103073-02</v>
      </c>
      <c r="C236" s="67" t="s">
        <v>170</v>
      </c>
      <c r="D236" s="68" t="s">
        <v>174</v>
      </c>
      <c r="E236" s="68" t="s">
        <v>175</v>
      </c>
      <c r="F236" s="68">
        <v>33</v>
      </c>
      <c r="G236" s="68" t="s">
        <v>178</v>
      </c>
      <c r="H236" s="68">
        <v>4103073</v>
      </c>
      <c r="I236" s="69" t="s">
        <v>60</v>
      </c>
      <c r="J236" s="70">
        <v>10</v>
      </c>
      <c r="K236" s="71" t="s">
        <v>37</v>
      </c>
      <c r="L236" s="72" t="s">
        <v>86</v>
      </c>
      <c r="M236" s="73"/>
      <c r="N236" s="73"/>
      <c r="O236" s="73"/>
      <c r="P236" s="112">
        <v>2700000000</v>
      </c>
      <c r="Q236" s="74"/>
      <c r="R236" s="74">
        <v>0</v>
      </c>
      <c r="S236" s="90">
        <f>+M236-R236+N236-O236+P236-Q236</f>
        <v>2700000000</v>
      </c>
      <c r="T236" s="73">
        <v>2394341198.1100001</v>
      </c>
      <c r="U236" s="73">
        <f t="shared" ref="U236" si="252">+S236-T236</f>
        <v>305658801.88999987</v>
      </c>
      <c r="V236" s="75">
        <f t="shared" si="133"/>
        <v>0.8867930363370371</v>
      </c>
      <c r="W236" s="76"/>
      <c r="X236" s="75">
        <f t="shared" si="194"/>
        <v>0</v>
      </c>
      <c r="Y236" s="76"/>
      <c r="Z236" s="75">
        <f t="shared" si="195"/>
        <v>0</v>
      </c>
    </row>
    <row r="237" spans="1:26" ht="28.5" customHeight="1">
      <c r="A237" s="26" t="e">
        <f>+CONCATENATE(#REF!,"=",J237)</f>
        <v>#REF!</v>
      </c>
      <c r="B237" s="35" t="str">
        <f>CONCATENATE(C237,"-",D237)</f>
        <v>C-4199</v>
      </c>
      <c r="C237" s="36" t="s">
        <v>170</v>
      </c>
      <c r="D237" s="37">
        <v>4199</v>
      </c>
      <c r="E237" s="37"/>
      <c r="F237" s="37"/>
      <c r="G237" s="37"/>
      <c r="H237" s="37"/>
      <c r="I237" s="38"/>
      <c r="J237" s="39"/>
      <c r="K237" s="39"/>
      <c r="L237" s="35" t="s">
        <v>237</v>
      </c>
      <c r="M237" s="40">
        <f>+M238</f>
        <v>6000000000</v>
      </c>
      <c r="N237" s="40">
        <f t="shared" ref="N237:Y240" si="253">+N238</f>
        <v>0</v>
      </c>
      <c r="O237" s="40">
        <f t="shared" si="253"/>
        <v>0</v>
      </c>
      <c r="P237" s="40">
        <f t="shared" si="253"/>
        <v>0</v>
      </c>
      <c r="Q237" s="40">
        <f t="shared" si="253"/>
        <v>0</v>
      </c>
      <c r="R237" s="40">
        <f t="shared" si="253"/>
        <v>0</v>
      </c>
      <c r="S237" s="40">
        <f t="shared" si="253"/>
        <v>6000000000</v>
      </c>
      <c r="T237" s="40">
        <f t="shared" si="253"/>
        <v>5995702194.1199999</v>
      </c>
      <c r="U237" s="40">
        <f t="shared" si="253"/>
        <v>4297805.8800001144</v>
      </c>
      <c r="V237" s="41">
        <f t="shared" si="133"/>
        <v>0.99928369902000003</v>
      </c>
      <c r="W237" s="42">
        <f t="shared" si="253"/>
        <v>5180611594.1199999</v>
      </c>
      <c r="X237" s="41">
        <f t="shared" si="194"/>
        <v>0.86343526568666662</v>
      </c>
      <c r="Y237" s="42">
        <f t="shared" si="253"/>
        <v>5180611594.1199999</v>
      </c>
      <c r="Z237" s="41">
        <f t="shared" si="195"/>
        <v>0.86343526568666662</v>
      </c>
    </row>
    <row r="238" spans="1:26" ht="28.5" customHeight="1">
      <c r="A238" s="26" t="e">
        <f>+CONCATENATE(#REF!,"=",J238)</f>
        <v>#REF!</v>
      </c>
      <c r="B238" s="43" t="str">
        <f>CONCATENATE(C238,"-",D238,"-",E238)</f>
        <v>C-4199-1500</v>
      </c>
      <c r="C238" s="44" t="s">
        <v>170</v>
      </c>
      <c r="D238" s="45">
        <v>4199</v>
      </c>
      <c r="E238" s="45">
        <v>1500</v>
      </c>
      <c r="F238" s="45"/>
      <c r="G238" s="45"/>
      <c r="H238" s="45"/>
      <c r="I238" s="46"/>
      <c r="J238" s="47"/>
      <c r="K238" s="47"/>
      <c r="L238" s="43" t="s">
        <v>173</v>
      </c>
      <c r="M238" s="48">
        <f>+M239</f>
        <v>6000000000</v>
      </c>
      <c r="N238" s="48">
        <f t="shared" si="253"/>
        <v>0</v>
      </c>
      <c r="O238" s="48">
        <f t="shared" si="253"/>
        <v>0</v>
      </c>
      <c r="P238" s="48">
        <f t="shared" si="253"/>
        <v>0</v>
      </c>
      <c r="Q238" s="48">
        <f t="shared" si="253"/>
        <v>0</v>
      </c>
      <c r="R238" s="48">
        <f t="shared" si="253"/>
        <v>0</v>
      </c>
      <c r="S238" s="48">
        <f t="shared" si="253"/>
        <v>6000000000</v>
      </c>
      <c r="T238" s="48">
        <f t="shared" si="253"/>
        <v>5995702194.1199999</v>
      </c>
      <c r="U238" s="48">
        <f t="shared" si="253"/>
        <v>4297805.8800001144</v>
      </c>
      <c r="V238" s="49">
        <f t="shared" si="133"/>
        <v>0.99928369902000003</v>
      </c>
      <c r="W238" s="50">
        <f t="shared" si="253"/>
        <v>5180611594.1199999</v>
      </c>
      <c r="X238" s="49">
        <f t="shared" si="194"/>
        <v>0.86343526568666662</v>
      </c>
      <c r="Y238" s="50">
        <f t="shared" si="253"/>
        <v>5180611594.1199999</v>
      </c>
      <c r="Z238" s="49">
        <f t="shared" si="195"/>
        <v>0.86343526568666662</v>
      </c>
    </row>
    <row r="239" spans="1:26" ht="28.5" customHeight="1">
      <c r="A239" s="26" t="e">
        <f>+CONCATENATE(#REF!,"=",J239)</f>
        <v>#REF!</v>
      </c>
      <c r="B239" s="51" t="str">
        <f>CONCATENATE(C239,"-",D239,"-",E239,"-",F239)</f>
        <v>C-4199-1500-2</v>
      </c>
      <c r="C239" s="52" t="s">
        <v>170</v>
      </c>
      <c r="D239" s="53" t="s">
        <v>238</v>
      </c>
      <c r="E239" s="53" t="s">
        <v>175</v>
      </c>
      <c r="F239" s="53" t="s">
        <v>239</v>
      </c>
      <c r="G239" s="53"/>
      <c r="H239" s="53"/>
      <c r="I239" s="54"/>
      <c r="J239" s="55"/>
      <c r="K239" s="55"/>
      <c r="L239" s="51" t="s">
        <v>240</v>
      </c>
      <c r="M239" s="56">
        <f>+M240</f>
        <v>6000000000</v>
      </c>
      <c r="N239" s="56">
        <f t="shared" si="253"/>
        <v>0</v>
      </c>
      <c r="O239" s="56">
        <f t="shared" si="253"/>
        <v>0</v>
      </c>
      <c r="P239" s="56">
        <f t="shared" si="253"/>
        <v>0</v>
      </c>
      <c r="Q239" s="56">
        <f t="shared" si="253"/>
        <v>0</v>
      </c>
      <c r="R239" s="56">
        <f t="shared" si="253"/>
        <v>0</v>
      </c>
      <c r="S239" s="56">
        <f t="shared" si="253"/>
        <v>6000000000</v>
      </c>
      <c r="T239" s="56">
        <f t="shared" si="253"/>
        <v>5995702194.1199999</v>
      </c>
      <c r="U239" s="56">
        <f t="shared" si="253"/>
        <v>4297805.8800001144</v>
      </c>
      <c r="V239" s="57">
        <f t="shared" si="133"/>
        <v>0.99928369902000003</v>
      </c>
      <c r="W239" s="58">
        <f t="shared" si="253"/>
        <v>5180611594.1199999</v>
      </c>
      <c r="X239" s="57">
        <f t="shared" si="194"/>
        <v>0.86343526568666662</v>
      </c>
      <c r="Y239" s="58">
        <f t="shared" si="253"/>
        <v>5180611594.1199999</v>
      </c>
      <c r="Z239" s="57">
        <f t="shared" si="195"/>
        <v>0.86343526568666662</v>
      </c>
    </row>
    <row r="240" spans="1:26" ht="28.5" customHeight="1">
      <c r="A240" s="26" t="e">
        <f>+CONCATENATE(#REF!,"=",J240)</f>
        <v>#REF!</v>
      </c>
      <c r="B240" s="59" t="str">
        <f>CONCATENATE(C240,"-",D240,"-",E240,"-",F240,"-",G240,"-",H240)</f>
        <v>C-4199-1500-2-0-4199062</v>
      </c>
      <c r="C240" s="60" t="s">
        <v>170</v>
      </c>
      <c r="D240" s="61" t="s">
        <v>238</v>
      </c>
      <c r="E240" s="61" t="s">
        <v>175</v>
      </c>
      <c r="F240" s="61" t="s">
        <v>239</v>
      </c>
      <c r="G240" s="61" t="s">
        <v>178</v>
      </c>
      <c r="H240" s="61" t="s">
        <v>241</v>
      </c>
      <c r="I240" s="62"/>
      <c r="J240" s="63"/>
      <c r="K240" s="63" t="s">
        <v>37</v>
      </c>
      <c r="L240" s="59" t="s">
        <v>242</v>
      </c>
      <c r="M240" s="64">
        <f>+M241</f>
        <v>6000000000</v>
      </c>
      <c r="N240" s="64">
        <f t="shared" si="253"/>
        <v>0</v>
      </c>
      <c r="O240" s="64">
        <f t="shared" si="253"/>
        <v>0</v>
      </c>
      <c r="P240" s="64">
        <f t="shared" si="253"/>
        <v>0</v>
      </c>
      <c r="Q240" s="64">
        <f t="shared" si="253"/>
        <v>0</v>
      </c>
      <c r="R240" s="64">
        <f t="shared" si="253"/>
        <v>0</v>
      </c>
      <c r="S240" s="64">
        <f t="shared" si="253"/>
        <v>6000000000</v>
      </c>
      <c r="T240" s="64">
        <f t="shared" si="253"/>
        <v>5995702194.1199999</v>
      </c>
      <c r="U240" s="64">
        <f t="shared" si="253"/>
        <v>4297805.8800001144</v>
      </c>
      <c r="V240" s="65">
        <f t="shared" si="133"/>
        <v>0.99928369902000003</v>
      </c>
      <c r="W240" s="64">
        <f t="shared" si="253"/>
        <v>5180611594.1199999</v>
      </c>
      <c r="X240" s="65">
        <f t="shared" si="194"/>
        <v>0.86343526568666662</v>
      </c>
      <c r="Y240" s="64">
        <f t="shared" si="253"/>
        <v>5180611594.1199999</v>
      </c>
      <c r="Z240" s="65">
        <f t="shared" si="195"/>
        <v>0.86343526568666662</v>
      </c>
    </row>
    <row r="241" spans="1:26" ht="28.5" customHeight="1">
      <c r="A241" s="26" t="e">
        <f>+CONCATENATE(#REF!,"=",J241)</f>
        <v>#REF!</v>
      </c>
      <c r="B241" s="113" t="str">
        <f t="shared" ref="B241" si="254">CONCATENATE(C241,"-",D241,"-",E241,"-",F241,"-",G241,"-",H241,"-",I241)</f>
        <v>C-4199-1500-2-0-4199062-02</v>
      </c>
      <c r="C241" s="114" t="s">
        <v>170</v>
      </c>
      <c r="D241" s="115" t="s">
        <v>238</v>
      </c>
      <c r="E241" s="115" t="s">
        <v>175</v>
      </c>
      <c r="F241" s="115" t="s">
        <v>239</v>
      </c>
      <c r="G241" s="115" t="s">
        <v>178</v>
      </c>
      <c r="H241" s="115" t="s">
        <v>241</v>
      </c>
      <c r="I241" s="116" t="s">
        <v>60</v>
      </c>
      <c r="J241" s="117">
        <v>11</v>
      </c>
      <c r="K241" s="118" t="s">
        <v>37</v>
      </c>
      <c r="L241" s="119" t="s">
        <v>86</v>
      </c>
      <c r="M241" s="120">
        <v>6000000000</v>
      </c>
      <c r="N241" s="120">
        <v>0</v>
      </c>
      <c r="O241" s="120">
        <v>0</v>
      </c>
      <c r="P241" s="120">
        <v>0</v>
      </c>
      <c r="Q241" s="120">
        <v>0</v>
      </c>
      <c r="R241" s="121">
        <v>0</v>
      </c>
      <c r="S241" s="120">
        <f>+M241-R241+N241-O241+P241-Q241</f>
        <v>6000000000</v>
      </c>
      <c r="T241" s="120">
        <v>5995702194.1199999</v>
      </c>
      <c r="U241" s="120">
        <f t="shared" ref="U241" si="255">+S241-T241</f>
        <v>4297805.8800001144</v>
      </c>
      <c r="V241" s="122">
        <f t="shared" si="133"/>
        <v>0.99928369902000003</v>
      </c>
      <c r="W241" s="123">
        <v>5180611594.1199999</v>
      </c>
      <c r="X241" s="122">
        <f t="shared" si="194"/>
        <v>0.86343526568666662</v>
      </c>
      <c r="Y241" s="123">
        <v>5180611594.1199999</v>
      </c>
      <c r="Z241" s="122">
        <f t="shared" si="195"/>
        <v>0.86343526568666662</v>
      </c>
    </row>
    <row r="242" spans="1:26" ht="32.15" customHeight="1">
      <c r="A242" s="26" t="e">
        <f>+CONCATENATE(#REF!,"=",J242)</f>
        <v>#REF!</v>
      </c>
      <c r="B242" s="124"/>
      <c r="C242" s="125"/>
      <c r="D242" s="125"/>
      <c r="E242" s="125"/>
      <c r="F242" s="125"/>
      <c r="G242" s="125"/>
      <c r="H242" s="125"/>
      <c r="I242" s="125"/>
      <c r="J242" s="125"/>
      <c r="K242" s="125"/>
      <c r="L242" s="124" t="s">
        <v>243</v>
      </c>
      <c r="M242" s="126">
        <f t="shared" ref="M242:U242" si="256">+M7+M122+M118</f>
        <v>6684523821744</v>
      </c>
      <c r="N242" s="126">
        <f t="shared" si="256"/>
        <v>3345674651597</v>
      </c>
      <c r="O242" s="126">
        <f t="shared" si="256"/>
        <v>0</v>
      </c>
      <c r="P242" s="126">
        <f t="shared" si="256"/>
        <v>327864130213.14001</v>
      </c>
      <c r="Q242" s="126">
        <f t="shared" si="256"/>
        <v>327864130213.14001</v>
      </c>
      <c r="R242" s="126">
        <f t="shared" si="256"/>
        <v>5880000000</v>
      </c>
      <c r="S242" s="126">
        <f t="shared" si="256"/>
        <v>10024318473341</v>
      </c>
      <c r="T242" s="126">
        <f t="shared" si="256"/>
        <v>8534070596659.71</v>
      </c>
      <c r="U242" s="126">
        <f t="shared" si="256"/>
        <v>1490247876681.2898</v>
      </c>
      <c r="V242" s="127">
        <f t="shared" si="133"/>
        <v>0.8513367386875722</v>
      </c>
      <c r="W242" s="128">
        <f>+W7+W122+W118</f>
        <v>8231831384908.1201</v>
      </c>
      <c r="X242" s="127">
        <f t="shared" si="194"/>
        <v>0.82118613916747774</v>
      </c>
      <c r="Y242" s="128">
        <f>+Y7+Y122+Y118</f>
        <v>8227333707054.0596</v>
      </c>
      <c r="Z242" s="127">
        <f t="shared" si="195"/>
        <v>0.82073746249524093</v>
      </c>
    </row>
    <row r="243" spans="1:26" s="137" customFormat="1" ht="14">
      <c r="A243" s="129"/>
      <c r="B243" s="129"/>
      <c r="C243" s="130"/>
      <c r="D243" s="130"/>
      <c r="E243" s="130"/>
      <c r="F243" s="130"/>
      <c r="G243" s="130"/>
      <c r="H243" s="131"/>
      <c r="I243" s="132"/>
      <c r="J243" s="132"/>
      <c r="K243" s="132"/>
      <c r="L243" s="188"/>
      <c r="M243" s="133"/>
      <c r="N243" s="133"/>
      <c r="O243" s="133"/>
      <c r="P243" s="133"/>
      <c r="Q243" s="133"/>
      <c r="R243" s="133"/>
      <c r="S243" s="133"/>
      <c r="T243" s="133"/>
      <c r="U243" s="133"/>
      <c r="V243" s="134"/>
      <c r="W243" s="135"/>
      <c r="X243" s="134"/>
      <c r="Y243" s="133"/>
      <c r="Z243" s="136"/>
    </row>
    <row r="244" spans="1:26" s="7" customFormat="1" ht="14">
      <c r="A244" s="26"/>
      <c r="B244" s="26"/>
      <c r="C244" s="138"/>
      <c r="D244" s="138"/>
      <c r="E244" s="138"/>
      <c r="F244" s="138"/>
      <c r="G244" s="138"/>
      <c r="H244" s="138"/>
      <c r="I244" s="139"/>
      <c r="J244" s="139"/>
      <c r="K244" s="139"/>
      <c r="L244" s="189"/>
      <c r="M244" s="140">
        <v>6684523821744</v>
      </c>
      <c r="N244" s="140">
        <v>3345674651597</v>
      </c>
      <c r="O244" s="140"/>
      <c r="P244" s="140">
        <f>140310432354.4+4154612497+16406400+1530891117+29090362137+56647834029+2533034045+6151560561+2500000000+2743010966+6235121358+20423948188.74+3826916560+2700000000+49000000000</f>
        <v>327864130213.14001</v>
      </c>
      <c r="Q244" s="140">
        <f>140310432354.4+4154612497+16406400+1530891117+29090362137+56647834029+2533034045+6151560561+2500000000+2743010966+6235121358+20423948188.74+3826916560+2700000000+49000000000</f>
        <v>327864130213.14001</v>
      </c>
      <c r="R244" s="140">
        <v>5880000000</v>
      </c>
      <c r="S244" s="140">
        <v>10024318473341</v>
      </c>
      <c r="T244" s="140">
        <v>8534070596659.71</v>
      </c>
      <c r="U244" s="140">
        <f t="shared" ref="U244" si="257">+S244-T244</f>
        <v>1490247876681.29</v>
      </c>
      <c r="V244" s="141">
        <f>+T244/S244</f>
        <v>0.8513367386875722</v>
      </c>
      <c r="W244" s="140">
        <v>8231831384908.1201</v>
      </c>
      <c r="X244" s="141"/>
      <c r="Y244" s="140">
        <v>8227333707054.0596</v>
      </c>
      <c r="Z244" s="142">
        <f>+Y244/T244</f>
        <v>0.96405737612181119</v>
      </c>
    </row>
    <row r="245" spans="1:26" s="145" customFormat="1" ht="11.5">
      <c r="A245" s="143"/>
      <c r="B245" s="143"/>
      <c r="C245" s="144"/>
      <c r="D245" s="144"/>
      <c r="E245" s="144"/>
      <c r="F245" s="144"/>
      <c r="G245" s="144"/>
      <c r="H245" s="144"/>
      <c r="I245" s="144"/>
      <c r="J245" s="144"/>
      <c r="K245" s="144"/>
      <c r="L245" s="190"/>
      <c r="M245" s="140">
        <f t="shared" ref="M245" si="258">+M242-M244</f>
        <v>0</v>
      </c>
      <c r="N245" s="140">
        <f>+N242-N244</f>
        <v>0</v>
      </c>
      <c r="O245" s="140">
        <f>+O242-O244</f>
        <v>0</v>
      </c>
      <c r="P245" s="140">
        <f>+P242-P244</f>
        <v>0</v>
      </c>
      <c r="Q245" s="140">
        <f t="shared" ref="Q245:X245" si="259">+Q242-Q244</f>
        <v>0</v>
      </c>
      <c r="R245" s="140">
        <f t="shared" si="259"/>
        <v>0</v>
      </c>
      <c r="S245" s="140">
        <f t="shared" si="259"/>
        <v>0</v>
      </c>
      <c r="T245" s="140">
        <f t="shared" si="259"/>
        <v>0</v>
      </c>
      <c r="U245" s="140">
        <f t="shared" si="259"/>
        <v>0</v>
      </c>
      <c r="V245" s="140">
        <f t="shared" si="259"/>
        <v>0</v>
      </c>
      <c r="W245" s="140">
        <f t="shared" si="259"/>
        <v>0</v>
      </c>
      <c r="X245" s="140">
        <f t="shared" si="259"/>
        <v>0.82118613916747774</v>
      </c>
      <c r="Y245" s="140">
        <f>+Y242-Y244</f>
        <v>0</v>
      </c>
      <c r="Z245" s="140">
        <f t="shared" ref="Z245" si="260">+Z242-Z244</f>
        <v>-0.14331991362657026</v>
      </c>
    </row>
    <row r="246" spans="1:26" s="7" customFormat="1" ht="14">
      <c r="A246" s="24"/>
      <c r="B246" s="25"/>
      <c r="C246" s="139"/>
      <c r="D246" s="139"/>
      <c r="E246" s="139"/>
      <c r="F246" s="139"/>
      <c r="G246" s="139"/>
      <c r="H246" s="139"/>
      <c r="I246" s="139"/>
      <c r="J246" s="139"/>
      <c r="K246" s="139"/>
      <c r="L246" s="191"/>
      <c r="M246" s="146"/>
      <c r="N246" s="146"/>
      <c r="O246" s="146"/>
      <c r="Q246" s="146"/>
      <c r="R246" s="146"/>
      <c r="S246" s="146"/>
      <c r="T246" s="146"/>
      <c r="U246" s="146"/>
      <c r="V246" s="147"/>
      <c r="W246" s="146"/>
      <c r="X246" s="147"/>
      <c r="Y246" s="146"/>
      <c r="Z246" s="148"/>
    </row>
    <row r="247" spans="1:26" s="137" customFormat="1" ht="18">
      <c r="A247" s="149"/>
      <c r="B247" s="150"/>
      <c r="C247" s="151"/>
      <c r="D247" s="151"/>
      <c r="E247" s="151"/>
      <c r="F247" s="151"/>
      <c r="G247" s="151"/>
      <c r="H247" s="151"/>
      <c r="I247" s="151"/>
      <c r="J247" s="151"/>
      <c r="K247" s="151"/>
      <c r="L247" s="192"/>
      <c r="M247" s="133"/>
      <c r="N247" s="152"/>
      <c r="O247" s="153"/>
      <c r="P247" s="154"/>
      <c r="Q247" s="155"/>
      <c r="R247" s="156"/>
      <c r="S247" s="157"/>
      <c r="T247" s="153"/>
      <c r="U247" s="153"/>
      <c r="V247" s="158"/>
      <c r="W247" s="153"/>
      <c r="X247" s="158"/>
      <c r="Y247" s="153"/>
      <c r="Z247" s="158"/>
    </row>
    <row r="248" spans="1:26" s="167" customFormat="1" ht="18">
      <c r="A248" s="159"/>
      <c r="B248" s="160"/>
      <c r="C248" s="161"/>
      <c r="D248" s="161"/>
      <c r="E248" s="161"/>
      <c r="F248" s="161"/>
      <c r="G248" s="161"/>
      <c r="H248" s="161"/>
      <c r="I248" s="161"/>
      <c r="J248" s="161"/>
      <c r="K248" s="161"/>
      <c r="L248" s="193"/>
      <c r="M248" s="162"/>
      <c r="N248" s="163"/>
      <c r="O248" s="162"/>
      <c r="P248" s="164"/>
      <c r="Q248" s="165"/>
      <c r="R248" s="165"/>
      <c r="S248" s="162"/>
      <c r="T248" s="162"/>
      <c r="U248" s="162"/>
      <c r="V248" s="166"/>
      <c r="W248" s="162"/>
      <c r="X248" s="166"/>
      <c r="Y248" s="162"/>
      <c r="Z248" s="166"/>
    </row>
    <row r="249" spans="1:26" ht="18">
      <c r="A249" s="1"/>
      <c r="B249" s="2"/>
      <c r="C249" s="168"/>
      <c r="D249" s="168"/>
      <c r="E249" s="168"/>
      <c r="F249" s="168"/>
      <c r="G249" s="168"/>
      <c r="H249" s="168"/>
      <c r="I249" s="168"/>
      <c r="J249" s="168"/>
      <c r="K249" s="168"/>
      <c r="L249" s="194"/>
      <c r="M249" s="169"/>
      <c r="N249" s="170"/>
      <c r="O249" s="169"/>
      <c r="P249" s="171"/>
      <c r="Q249" s="172"/>
      <c r="R249" s="169"/>
      <c r="S249" s="169"/>
      <c r="T249" s="169"/>
      <c r="U249" s="169"/>
      <c r="V249" s="173"/>
      <c r="W249" s="169"/>
      <c r="X249" s="173"/>
      <c r="Y249" s="169"/>
      <c r="Z249" s="173"/>
    </row>
    <row r="250" spans="1:26" ht="29.5">
      <c r="A250" s="174"/>
      <c r="B250" s="175"/>
      <c r="C250" s="176"/>
      <c r="D250" s="176"/>
      <c r="E250" s="176"/>
      <c r="F250" s="176"/>
      <c r="G250" s="176"/>
      <c r="H250" s="176"/>
      <c r="I250" s="176"/>
      <c r="J250" s="176"/>
      <c r="K250" s="176"/>
      <c r="L250" s="195"/>
      <c r="M250" s="177"/>
      <c r="O250" s="178"/>
      <c r="P250" s="179"/>
      <c r="Q250" s="180"/>
      <c r="R250" s="180"/>
      <c r="S250" s="181"/>
      <c r="T250" s="181"/>
      <c r="U250" s="182"/>
      <c r="V250" s="183"/>
      <c r="W250" s="183"/>
      <c r="X250" s="183"/>
    </row>
    <row r="251" spans="1:26" ht="14">
      <c r="M251" s="177"/>
      <c r="N251" s="177"/>
    </row>
    <row r="252" spans="1:26" ht="14">
      <c r="M252" s="177"/>
      <c r="N252" s="177"/>
    </row>
  </sheetData>
  <sheetProtection selectLockedCells="1" selectUnlockedCells="1"/>
  <autoFilter ref="A6:Z245" xr:uid="{00000000-0001-0000-0200-000000000000}"/>
  <mergeCells count="15">
    <mergeCell ref="M2:Z2"/>
    <mergeCell ref="M3:Z3"/>
    <mergeCell ref="B5:B6"/>
    <mergeCell ref="C5:I5"/>
    <mergeCell ref="J5:J6"/>
    <mergeCell ref="K5:K6"/>
    <mergeCell ref="L5:L6"/>
    <mergeCell ref="M5:M6"/>
    <mergeCell ref="N5:O5"/>
    <mergeCell ref="P5:Q5"/>
    <mergeCell ref="R5:R6"/>
    <mergeCell ref="S5:S6"/>
    <mergeCell ref="T5:V5"/>
    <mergeCell ref="W5:X5"/>
    <mergeCell ref="Y5:Z5"/>
  </mergeCells>
  <printOptions horizontalCentered="1"/>
  <pageMargins left="0.51181102362204722" right="0.51181102362204722" top="0.35433070866141736" bottom="0.35433070866141736" header="0.11811023622047245" footer="0.11811023622047245"/>
  <pageSetup scale="22" fitToHeight="3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0C818-99E3-4614-8A09-DD0408297334}">
  <sheetPr codeName="Hoja2"/>
  <dimension ref="A6:P42"/>
  <sheetViews>
    <sheetView showGridLines="0" tabSelected="1" topLeftCell="D1" zoomScaleNormal="100" zoomScaleSheetLayoutView="70" workbookViewId="0">
      <pane ySplit="7" topLeftCell="A8" activePane="bottomLeft" state="frozen"/>
      <selection activeCell="B23" sqref="B23"/>
      <selection pane="bottomLeft" activeCell="H11" sqref="H11"/>
    </sheetView>
  </sheetViews>
  <sheetFormatPr baseColWidth="10" defaultColWidth="11.453125" defaultRowHeight="14.5"/>
  <cols>
    <col min="1" max="1" width="4.7265625" style="197" customWidth="1"/>
    <col min="2" max="2" width="18.453125" style="237" customWidth="1"/>
    <col min="3" max="3" width="7.54296875" style="237" bestFit="1" customWidth="1"/>
    <col min="4" max="4" width="4.81640625" style="237" bestFit="1" customWidth="1"/>
    <col min="5" max="5" width="4.81640625" style="237" customWidth="1"/>
    <col min="6" max="6" width="33.1796875" style="198" bestFit="1" customWidth="1"/>
    <col min="7" max="7" width="24.54296875" style="198" bestFit="1" customWidth="1"/>
    <col min="8" max="8" width="21.54296875" style="198" bestFit="1" customWidth="1"/>
    <col min="9" max="9" width="24.54296875" style="198" bestFit="1" customWidth="1"/>
    <col min="10" max="10" width="20.7265625" style="198" bestFit="1" customWidth="1"/>
    <col min="11" max="11" width="22.54296875" style="198" bestFit="1" customWidth="1"/>
    <col min="12" max="12" width="9.1796875" style="239" bestFit="1" customWidth="1"/>
    <col min="13" max="13" width="24.26953125" style="198" bestFit="1" customWidth="1"/>
    <col min="14" max="14" width="8.7265625" style="239" bestFit="1" customWidth="1"/>
    <col min="15" max="15" width="4.7265625" style="198" customWidth="1"/>
    <col min="16" max="16" width="18.81640625" style="198" bestFit="1" customWidth="1"/>
    <col min="17" max="16384" width="11.453125" style="198"/>
  </cols>
  <sheetData>
    <row r="6" spans="1:16">
      <c r="B6" s="258" t="s">
        <v>244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1:16" ht="23">
      <c r="A7" s="199"/>
      <c r="B7" s="200" t="s">
        <v>2</v>
      </c>
      <c r="C7" s="200" t="s">
        <v>245</v>
      </c>
      <c r="D7" s="200" t="s">
        <v>3</v>
      </c>
      <c r="E7" s="200" t="s">
        <v>4</v>
      </c>
      <c r="F7" s="200" t="s">
        <v>246</v>
      </c>
      <c r="G7" s="200" t="s">
        <v>247</v>
      </c>
      <c r="H7" s="200" t="s">
        <v>248</v>
      </c>
      <c r="I7" s="200" t="s">
        <v>249</v>
      </c>
      <c r="J7" s="200" t="s">
        <v>250</v>
      </c>
      <c r="K7" s="200" t="s">
        <v>251</v>
      </c>
      <c r="L7" s="201" t="s">
        <v>252</v>
      </c>
      <c r="M7" s="200" t="s">
        <v>253</v>
      </c>
      <c r="N7" s="201" t="s">
        <v>254</v>
      </c>
    </row>
    <row r="8" spans="1:16" ht="22.5" customHeight="1">
      <c r="B8" s="202" t="s">
        <v>255</v>
      </c>
      <c r="C8" s="202" t="s">
        <v>256</v>
      </c>
      <c r="D8" s="203">
        <v>10</v>
      </c>
      <c r="E8" s="203" t="s">
        <v>37</v>
      </c>
      <c r="F8" s="204" t="s">
        <v>38</v>
      </c>
      <c r="G8" s="205">
        <f>+SUMIFS([1]VigenciaSIIF!T$3:T$32,[1]VigenciaSIIF!$C$3:$C$32,'Resumen Ejecución a 15-Nov-2024'!$B8,[1]VigenciaSIIF!$N$3:$N$32,'Resumen Ejecución a 15-Nov-2024'!$D8)</f>
        <v>109110000000</v>
      </c>
      <c r="H8" s="205">
        <f>+SUMIFS([1]VigenciaSIIF!U$3:U$32,[1]VigenciaSIIF!$C$3:$C$32,'Resumen Ejecución a 15-Nov-2024'!$B8,[1]VigenciaSIIF!$N$3:$N$32,'Resumen Ejecución a 15-Nov-2024'!$D8)</f>
        <v>0</v>
      </c>
      <c r="I8" s="205">
        <f>+SUMIFS([1]VigenciaSIIF!V$3:V$32,[1]VigenciaSIIF!$C$3:$C$32,'Resumen Ejecución a 15-Nov-2024'!$B8,[1]VigenciaSIIF!$N$3:$N$32,'Resumen Ejecución a 15-Nov-2024'!$D8)</f>
        <v>109110000000</v>
      </c>
      <c r="J8" s="205">
        <f>+SUMIFS([1]VigenciaSIIF!W$3:W$32,[1]VigenciaSIIF!$C$3:$C$32,'Resumen Ejecución a 15-Nov-2024'!$B8,[1]VigenciaSIIF!$N$3:$N$32,'Resumen Ejecución a 15-Nov-2024'!$D8)</f>
        <v>0</v>
      </c>
      <c r="K8" s="205">
        <f>+SUMIFS([1]VigenciaSIIF!X$3:X$32,[1]VigenciaSIIF!$C$3:$C$32,'Resumen Ejecución a 15-Nov-2024'!$B8,[1]VigenciaSIIF!$N$3:$N$32,'Resumen Ejecución a 15-Nov-2024'!$D8)</f>
        <v>66384598716</v>
      </c>
      <c r="L8" s="206">
        <f t="shared" ref="L8:L34" si="0">+K8/$G8</f>
        <v>0.60841901490239203</v>
      </c>
      <c r="M8" s="205">
        <f>+SUMIFS([1]VigenciaSIIF!Y$3:Y$32,[1]VigenciaSIIF!$C$3:$C$32,'Resumen Ejecución a 15-Nov-2024'!$B8,[1]VigenciaSIIF!$N$3:$N$32,'Resumen Ejecución a 15-Nov-2024'!$D8)</f>
        <v>66314785081</v>
      </c>
      <c r="N8" s="206">
        <f t="shared" ref="N8:N15" si="1">+M8/$G8</f>
        <v>0.60777916855466962</v>
      </c>
    </row>
    <row r="9" spans="1:16" ht="22.5" customHeight="1">
      <c r="B9" s="202" t="s">
        <v>257</v>
      </c>
      <c r="C9" s="202" t="s">
        <v>256</v>
      </c>
      <c r="D9" s="203">
        <v>10</v>
      </c>
      <c r="E9" s="203" t="s">
        <v>37</v>
      </c>
      <c r="F9" s="204" t="s">
        <v>61</v>
      </c>
      <c r="G9" s="205">
        <f>+SUMIFS([1]VigenciaSIIF!T$3:T$32,[1]VigenciaSIIF!$C$3:$C$32,'Resumen Ejecución a 15-Nov-2024'!$B9,[1]VigenciaSIIF!$N$3:$N$32,'Resumen Ejecución a 15-Nov-2024'!$D9)</f>
        <v>39977000000</v>
      </c>
      <c r="H9" s="205">
        <f>+SUMIFS([1]VigenciaSIIF!U$3:U$32,[1]VigenciaSIIF!$C$3:$C$32,'Resumen Ejecución a 15-Nov-2024'!$B9,[1]VigenciaSIIF!$N$3:$N$32,'Resumen Ejecución a 15-Nov-2024'!$D9)</f>
        <v>0</v>
      </c>
      <c r="I9" s="205">
        <f>+SUMIFS([1]VigenciaSIIF!V$3:V$32,[1]VigenciaSIIF!$C$3:$C$32,'Resumen Ejecución a 15-Nov-2024'!$B9,[1]VigenciaSIIF!$N$3:$N$32,'Resumen Ejecución a 15-Nov-2024'!$D9)</f>
        <v>39977000000</v>
      </c>
      <c r="J9" s="205">
        <f>+SUMIFS([1]VigenciaSIIF!W$3:W$32,[1]VigenciaSIIF!$C$3:$C$32,'Resumen Ejecución a 15-Nov-2024'!$B9,[1]VigenciaSIIF!$N$3:$N$32,'Resumen Ejecución a 15-Nov-2024'!$D9)</f>
        <v>0</v>
      </c>
      <c r="K9" s="205">
        <f>+SUMIFS([1]VigenciaSIIF!X$3:X$32,[1]VigenciaSIIF!$C$3:$C$32,'Resumen Ejecución a 15-Nov-2024'!$B9,[1]VigenciaSIIF!$N$3:$N$32,'Resumen Ejecución a 15-Nov-2024'!$D9)</f>
        <v>24898034187</v>
      </c>
      <c r="L9" s="206">
        <f t="shared" si="0"/>
        <v>0.62280896983265377</v>
      </c>
      <c r="M9" s="205">
        <f>+SUMIFS([1]VigenciaSIIF!Y$3:Y$32,[1]VigenciaSIIF!$C$3:$C$32,'Resumen Ejecución a 15-Nov-2024'!$B9,[1]VigenciaSIIF!$N$3:$N$32,'Resumen Ejecución a 15-Nov-2024'!$D9)</f>
        <v>24890690713</v>
      </c>
      <c r="N9" s="206">
        <f t="shared" si="1"/>
        <v>0.6226252773594817</v>
      </c>
    </row>
    <row r="10" spans="1:16" ht="22.5" customHeight="1">
      <c r="B10" s="202" t="s">
        <v>258</v>
      </c>
      <c r="C10" s="202" t="s">
        <v>256</v>
      </c>
      <c r="D10" s="203">
        <v>10</v>
      </c>
      <c r="E10" s="203" t="s">
        <v>37</v>
      </c>
      <c r="F10" s="204" t="s">
        <v>72</v>
      </c>
      <c r="G10" s="205">
        <f>+SUMIFS([1]VigenciaSIIF!T$3:T$32,[1]VigenciaSIIF!$C$3:$C$32,'Resumen Ejecución a 15-Nov-2024'!$B10,[1]VigenciaSIIF!$N$3:$N$32,'Resumen Ejecución a 15-Nov-2024'!$D10)</f>
        <v>11543000000</v>
      </c>
      <c r="H10" s="205">
        <f>+SUMIFS([1]VigenciaSIIF!U$3:U$32,[1]VigenciaSIIF!$C$3:$C$32,'Resumen Ejecución a 15-Nov-2024'!$B10,[1]VigenciaSIIF!$N$3:$N$32,'Resumen Ejecución a 15-Nov-2024'!$D10)</f>
        <v>0</v>
      </c>
      <c r="I10" s="205">
        <f>+SUMIFS([1]VigenciaSIIF!V$3:V$32,[1]VigenciaSIIF!$C$3:$C$32,'Resumen Ejecución a 15-Nov-2024'!$B10,[1]VigenciaSIIF!$N$3:$N$32,'Resumen Ejecución a 15-Nov-2024'!$D10)</f>
        <v>11543000000</v>
      </c>
      <c r="J10" s="205">
        <f>+SUMIFS([1]VigenciaSIIF!W$3:W$32,[1]VigenciaSIIF!$C$3:$C$32,'Resumen Ejecución a 15-Nov-2024'!$B10,[1]VigenciaSIIF!$N$3:$N$32,'Resumen Ejecución a 15-Nov-2024'!$D10)</f>
        <v>0</v>
      </c>
      <c r="K10" s="205">
        <f>+SUMIFS([1]VigenciaSIIF!X$3:X$32,[1]VigenciaSIIF!$C$3:$C$32,'Resumen Ejecución a 15-Nov-2024'!$B10,[1]VigenciaSIIF!$N$3:$N$32,'Resumen Ejecución a 15-Nov-2024'!$D10)</f>
        <v>8552754584.1300001</v>
      </c>
      <c r="L10" s="206">
        <f t="shared" si="0"/>
        <v>0.74094729135666637</v>
      </c>
      <c r="M10" s="205">
        <f>+SUMIFS([1]VigenciaSIIF!Y$3:Y$32,[1]VigenciaSIIF!$C$3:$C$32,'Resumen Ejecución a 15-Nov-2024'!$B10,[1]VigenciaSIIF!$N$3:$N$32,'Resumen Ejecución a 15-Nov-2024'!$D10)</f>
        <v>8531780887.1300001</v>
      </c>
      <c r="N10" s="206">
        <f t="shared" si="1"/>
        <v>0.73913028563891536</v>
      </c>
    </row>
    <row r="11" spans="1:16" ht="22.5" customHeight="1">
      <c r="B11" s="202" t="s">
        <v>259</v>
      </c>
      <c r="C11" s="202" t="s">
        <v>256</v>
      </c>
      <c r="D11" s="203">
        <v>10</v>
      </c>
      <c r="E11" s="203" t="s">
        <v>37</v>
      </c>
      <c r="F11" s="204" t="s">
        <v>260</v>
      </c>
      <c r="G11" s="205">
        <f>+SUMIFS([1]VigenciaSIIF!T$3:T$32,[1]VigenciaSIIF!$C$3:$C$32,'Resumen Ejecución a 15-Nov-2024'!$B11,[1]VigenciaSIIF!$N$3:$N$32,'Resumen Ejecución a 15-Nov-2024'!$D11)</f>
        <v>48775000000</v>
      </c>
      <c r="H11" s="205">
        <f>+SUMIFS([1]VigenciaSIIF!U$3:U$32,[1]VigenciaSIIF!$C$3:$C$32,'Resumen Ejecución a 15-Nov-2024'!$B11,[1]VigenciaSIIF!$N$3:$N$32,'Resumen Ejecución a 15-Nov-2024'!$D11)</f>
        <v>0</v>
      </c>
      <c r="I11" s="205">
        <f>+SUMIFS([1]VigenciaSIIF!V$3:V$32,[1]VigenciaSIIF!$C$3:$C$32,'Resumen Ejecución a 15-Nov-2024'!$B11,[1]VigenciaSIIF!$N$3:$N$32,'Resumen Ejecución a 15-Nov-2024'!$D11)</f>
        <v>47523261410.050003</v>
      </c>
      <c r="J11" s="205">
        <f>+SUMIFS([1]VigenciaSIIF!W$3:W$32,[1]VigenciaSIIF!$C$3:$C$32,'Resumen Ejecución a 15-Nov-2024'!$B11,[1]VigenciaSIIF!$N$3:$N$32,'Resumen Ejecución a 15-Nov-2024'!$D11)</f>
        <v>1251738589.95</v>
      </c>
      <c r="K11" s="205">
        <f>+SUMIFS([1]VigenciaSIIF!X$3:X$32,[1]VigenciaSIIF!$C$3:$C$32,'Resumen Ejecución a 15-Nov-2024'!$B11,[1]VigenciaSIIF!$N$3:$N$32,'Resumen Ejecución a 15-Nov-2024'!$D11)</f>
        <v>41284649643.440002</v>
      </c>
      <c r="L11" s="206">
        <f t="shared" si="0"/>
        <v>0.84643054112639682</v>
      </c>
      <c r="M11" s="205">
        <f>+SUMIFS([1]VigenciaSIIF!Y$3:Y$32,[1]VigenciaSIIF!$C$3:$C$32,'Resumen Ejecución a 15-Nov-2024'!$B11,[1]VigenciaSIIF!$N$3:$N$32,'Resumen Ejecución a 15-Nov-2024'!$D11)</f>
        <v>31248930406.900002</v>
      </c>
      <c r="N11" s="206">
        <f t="shared" si="1"/>
        <v>0.64067514929574576</v>
      </c>
    </row>
    <row r="12" spans="1:16" ht="22.5" customHeight="1">
      <c r="B12" s="202" t="s">
        <v>261</v>
      </c>
      <c r="C12" s="202" t="s">
        <v>256</v>
      </c>
      <c r="D12" s="203">
        <v>10</v>
      </c>
      <c r="E12" s="203" t="s">
        <v>37</v>
      </c>
      <c r="F12" s="204" t="s">
        <v>143</v>
      </c>
      <c r="G12" s="205">
        <f>+SUMIFS([1]VigenciaSIIF!T$3:T$32,[1]VigenciaSIIF!$C$3:$C$32,'Resumen Ejecución a 15-Nov-2024'!$B12,[1]VigenciaSIIF!$N$3:$N$32,'Resumen Ejecución a 15-Nov-2024'!$D12)</f>
        <v>765000000</v>
      </c>
      <c r="H12" s="205">
        <f>+SUMIFS([1]VigenciaSIIF!U$3:U$32,[1]VigenciaSIIF!$C$3:$C$32,'Resumen Ejecución a 15-Nov-2024'!$B12,[1]VigenciaSIIF!$N$3:$N$32,'Resumen Ejecución a 15-Nov-2024'!$D12)</f>
        <v>0</v>
      </c>
      <c r="I12" s="205">
        <f>+SUMIFS([1]VigenciaSIIF!V$3:V$32,[1]VigenciaSIIF!$C$3:$C$32,'Resumen Ejecución a 15-Nov-2024'!$B12,[1]VigenciaSIIF!$N$3:$N$32,'Resumen Ejecución a 15-Nov-2024'!$D12)</f>
        <v>765000000</v>
      </c>
      <c r="J12" s="205">
        <f>+SUMIFS([1]VigenciaSIIF!W$3:W$32,[1]VigenciaSIIF!$C$3:$C$32,'Resumen Ejecución a 15-Nov-2024'!$B12,[1]VigenciaSIIF!$N$3:$N$32,'Resumen Ejecución a 15-Nov-2024'!$D12)</f>
        <v>0</v>
      </c>
      <c r="K12" s="205">
        <f>+SUMIFS([1]VigenciaSIIF!X$3:X$32,[1]VigenciaSIIF!$C$3:$C$32,'Resumen Ejecución a 15-Nov-2024'!$B12,[1]VigenciaSIIF!$N$3:$N$32,'Resumen Ejecución a 15-Nov-2024'!$D12)</f>
        <v>464160659</v>
      </c>
      <c r="L12" s="206">
        <f t="shared" si="0"/>
        <v>0.60674595947712417</v>
      </c>
      <c r="M12" s="205">
        <f>+SUMIFS([1]VigenciaSIIF!Y$3:Y$32,[1]VigenciaSIIF!$C$3:$C$32,'Resumen Ejecución a 15-Nov-2024'!$B12,[1]VigenciaSIIF!$N$3:$N$32,'Resumen Ejecución a 15-Nov-2024'!$D12)</f>
        <v>291622373</v>
      </c>
      <c r="N12" s="206">
        <f t="shared" si="1"/>
        <v>0.38120571633986927</v>
      </c>
    </row>
    <row r="13" spans="1:16" ht="22.5" customHeight="1">
      <c r="B13" s="202" t="s">
        <v>262</v>
      </c>
      <c r="C13" s="202" t="s">
        <v>256</v>
      </c>
      <c r="D13" s="203">
        <v>10</v>
      </c>
      <c r="E13" s="203" t="s">
        <v>37</v>
      </c>
      <c r="F13" s="204" t="s">
        <v>146</v>
      </c>
      <c r="G13" s="205">
        <f>+SUMIFS([1]VigenciaSIIF!T$3:T$32,[1]VigenciaSIIF!$C$3:$C$32,'Resumen Ejecución a 15-Nov-2024'!$B13,[1]VigenciaSIIF!$N$3:$N$32,'Resumen Ejecución a 15-Nov-2024'!$D13)</f>
        <v>2494170700</v>
      </c>
      <c r="H13" s="205">
        <f>+SUMIFS([1]VigenciaSIIF!U$3:U$32,[1]VigenciaSIIF!$C$3:$C$32,'Resumen Ejecución a 15-Nov-2024'!$B13,[1]VigenciaSIIF!$N$3:$N$32,'Resumen Ejecución a 15-Nov-2024'!$D13)</f>
        <v>0</v>
      </c>
      <c r="I13" s="205">
        <f>+SUMIFS([1]VigenciaSIIF!V$3:V$32,[1]VigenciaSIIF!$C$3:$C$32,'Resumen Ejecución a 15-Nov-2024'!$B13,[1]VigenciaSIIF!$N$3:$N$32,'Resumen Ejecución a 15-Nov-2024'!$D13)</f>
        <v>150956883</v>
      </c>
      <c r="J13" s="205">
        <f>+SUMIFS([1]VigenciaSIIF!W$3:W$32,[1]VigenciaSIIF!$C$3:$C$32,'Resumen Ejecución a 15-Nov-2024'!$B13,[1]VigenciaSIIF!$N$3:$N$32,'Resumen Ejecución a 15-Nov-2024'!$D13)</f>
        <v>2343213817</v>
      </c>
      <c r="K13" s="205">
        <f>+SUMIFS([1]VigenciaSIIF!X$3:X$32,[1]VigenciaSIIF!$C$3:$C$32,'Resumen Ejecución a 15-Nov-2024'!$B13,[1]VigenciaSIIF!$N$3:$N$32,'Resumen Ejecución a 15-Nov-2024'!$D13)</f>
        <v>150956883</v>
      </c>
      <c r="L13" s="206">
        <f t="shared" si="0"/>
        <v>6.0523877936662474E-2</v>
      </c>
      <c r="M13" s="205">
        <f>+SUMIFS([1]VigenciaSIIF!Y$3:Y$32,[1]VigenciaSIIF!$C$3:$C$32,'Resumen Ejecución a 15-Nov-2024'!$B13,[1]VigenciaSIIF!$N$3:$N$32,'Resumen Ejecución a 15-Nov-2024'!$D13)</f>
        <v>150956883</v>
      </c>
      <c r="N13" s="206">
        <f t="shared" si="1"/>
        <v>6.0523877936662474E-2</v>
      </c>
    </row>
    <row r="14" spans="1:16" ht="22.5" customHeight="1">
      <c r="B14" s="202" t="s">
        <v>263</v>
      </c>
      <c r="C14" s="202" t="s">
        <v>256</v>
      </c>
      <c r="D14" s="203">
        <v>10</v>
      </c>
      <c r="E14" s="203" t="s">
        <v>37</v>
      </c>
      <c r="F14" s="204" t="s">
        <v>152</v>
      </c>
      <c r="G14" s="205">
        <f>+SUMIFS([1]VigenciaSIIF!T$3:T$32,[1]VigenciaSIIF!$C$3:$C$32,'Resumen Ejecución a 15-Nov-2024'!$B14,[1]VigenciaSIIF!$N$3:$N$32,'Resumen Ejecución a 15-Nov-2024'!$D14)</f>
        <v>216000000</v>
      </c>
      <c r="H14" s="205">
        <f>+SUMIFS([1]VigenciaSIIF!U$3:U$32,[1]VigenciaSIIF!$C$3:$C$32,'Resumen Ejecución a 15-Nov-2024'!$B14,[1]VigenciaSIIF!$N$3:$N$32,'Resumen Ejecución a 15-Nov-2024'!$D14)</f>
        <v>0</v>
      </c>
      <c r="I14" s="205">
        <f>+SUMIFS([1]VigenciaSIIF!V$3:V$32,[1]VigenciaSIIF!$C$3:$C$32,'Resumen Ejecución a 15-Nov-2024'!$B14,[1]VigenciaSIIF!$N$3:$N$32,'Resumen Ejecución a 15-Nov-2024'!$D14)</f>
        <v>209000000</v>
      </c>
      <c r="J14" s="205">
        <f>+SUMIFS([1]VigenciaSIIF!W$3:W$32,[1]VigenciaSIIF!$C$3:$C$32,'Resumen Ejecución a 15-Nov-2024'!$B14,[1]VigenciaSIIF!$N$3:$N$32,'Resumen Ejecución a 15-Nov-2024'!$D14)</f>
        <v>7000000</v>
      </c>
      <c r="K14" s="205">
        <f>+SUMIFS([1]VigenciaSIIF!X$3:X$32,[1]VigenciaSIIF!$C$3:$C$32,'Resumen Ejecución a 15-Nov-2024'!$B14,[1]VigenciaSIIF!$N$3:$N$32,'Resumen Ejecución a 15-Nov-2024'!$D14)</f>
        <v>134361131.24000001</v>
      </c>
      <c r="L14" s="206">
        <f t="shared" si="0"/>
        <v>0.62204227425925929</v>
      </c>
      <c r="M14" s="205">
        <f>+SUMIFS([1]VigenciaSIIF!Y$3:Y$32,[1]VigenciaSIIF!$C$3:$C$32,'Resumen Ejecución a 15-Nov-2024'!$B14,[1]VigenciaSIIF!$N$3:$N$32,'Resumen Ejecución a 15-Nov-2024'!$D14)</f>
        <v>134087827.23999999</v>
      </c>
      <c r="N14" s="206">
        <f t="shared" si="1"/>
        <v>0.62077697796296294</v>
      </c>
    </row>
    <row r="15" spans="1:16" ht="22.5" customHeight="1">
      <c r="B15" s="207" t="s">
        <v>264</v>
      </c>
      <c r="C15" s="207" t="s">
        <v>256</v>
      </c>
      <c r="D15" s="208">
        <v>11</v>
      </c>
      <c r="E15" s="208" t="s">
        <v>159</v>
      </c>
      <c r="F15" s="209" t="s">
        <v>160</v>
      </c>
      <c r="G15" s="210">
        <f>+SUMIFS([1]VigenciaSIIF!T$3:T$32,[1]VigenciaSIIF!$C$3:$C$32,'Resumen Ejecución a 15-Nov-2024'!$B15,[1]VigenciaSIIF!$N$3:$N$32,'Resumen Ejecución a 15-Nov-2024'!$D15)</f>
        <v>32609649182</v>
      </c>
      <c r="H15" s="210">
        <f>+SUMIFS([1]VigenciaSIIF!U$3:U$32,[1]VigenciaSIIF!$C$3:$C$32,'Resumen Ejecución a 15-Nov-2024'!$B15,[1]VigenciaSIIF!$N$3:$N$32,'Resumen Ejecución a 15-Nov-2024'!$D15)</f>
        <v>0</v>
      </c>
      <c r="I15" s="210">
        <f>+SUMIFS([1]VigenciaSIIF!V$3:V$32,[1]VigenciaSIIF!$C$3:$C$32,'Resumen Ejecución a 15-Nov-2024'!$B15,[1]VigenciaSIIF!$N$3:$N$32,'Resumen Ejecución a 15-Nov-2024'!$D15)</f>
        <v>0</v>
      </c>
      <c r="J15" s="210">
        <f>+SUMIFS([1]VigenciaSIIF!W$3:W$32,[1]VigenciaSIIF!$C$3:$C$32,'Resumen Ejecución a 15-Nov-2024'!$B15,[1]VigenciaSIIF!$N$3:$N$32,'Resumen Ejecución a 15-Nov-2024'!$D15)</f>
        <v>32609649182</v>
      </c>
      <c r="K15" s="210">
        <f>+SUMIFS([1]VigenciaSIIF!X$3:X$32,[1]VigenciaSIIF!$C$3:$C$32,'Resumen Ejecución a 15-Nov-2024'!$B15,[1]VigenciaSIIF!$N$3:$N$32,'Resumen Ejecución a 15-Nov-2024'!$D15)</f>
        <v>0</v>
      </c>
      <c r="L15" s="211">
        <f t="shared" si="0"/>
        <v>0</v>
      </c>
      <c r="M15" s="210">
        <f>+SUMIFS([1]VigenciaSIIF!Y$3:Y$32,[1]VigenciaSIIF!$C$3:$C$32,'Resumen Ejecución a 15-Nov-2024'!$B15,[1]VigenciaSIIF!$N$3:$N$32,'Resumen Ejecución a 15-Nov-2024'!$D15)</f>
        <v>0</v>
      </c>
      <c r="N15" s="211">
        <f t="shared" si="1"/>
        <v>0</v>
      </c>
    </row>
    <row r="16" spans="1:16" s="217" customFormat="1" ht="22.5" customHeight="1">
      <c r="A16" s="212"/>
      <c r="B16" s="213" t="s">
        <v>265</v>
      </c>
      <c r="C16" s="214"/>
      <c r="D16" s="214"/>
      <c r="E16" s="214"/>
      <c r="F16" s="214"/>
      <c r="G16" s="215">
        <f>SUM(G8:G15)</f>
        <v>245489819882</v>
      </c>
      <c r="H16" s="215">
        <f t="shared" ref="H16:M16" si="2">SUM(H8:H15)</f>
        <v>0</v>
      </c>
      <c r="I16" s="215">
        <f t="shared" si="2"/>
        <v>209278218293.04999</v>
      </c>
      <c r="J16" s="215">
        <f t="shared" si="2"/>
        <v>36211601588.949997</v>
      </c>
      <c r="K16" s="215">
        <f t="shared" si="2"/>
        <v>141869515803.81</v>
      </c>
      <c r="L16" s="216">
        <f t="shared" si="0"/>
        <v>0.57790386530896742</v>
      </c>
      <c r="M16" s="215">
        <f t="shared" si="2"/>
        <v>131562854171.27</v>
      </c>
      <c r="N16" s="216">
        <f>+M16/$G16</f>
        <v>0.53591979591865979</v>
      </c>
      <c r="P16" s="198"/>
    </row>
    <row r="17" spans="1:16" s="217" customFormat="1" ht="22.5" customHeight="1">
      <c r="A17" s="212"/>
      <c r="B17" s="218" t="s">
        <v>266</v>
      </c>
      <c r="C17" s="219" t="s">
        <v>172</v>
      </c>
      <c r="D17" s="219"/>
      <c r="E17" s="219"/>
      <c r="F17" s="219"/>
      <c r="G17" s="220"/>
      <c r="H17" s="220"/>
      <c r="I17" s="220"/>
      <c r="J17" s="220"/>
      <c r="K17" s="220"/>
      <c r="L17" s="221"/>
      <c r="M17" s="220"/>
      <c r="N17" s="221"/>
      <c r="P17" s="198"/>
    </row>
    <row r="18" spans="1:16" s="217" customFormat="1" ht="22.5" customHeight="1">
      <c r="A18" s="212"/>
      <c r="B18" s="222" t="s">
        <v>267</v>
      </c>
      <c r="C18" s="259" t="s">
        <v>173</v>
      </c>
      <c r="D18" s="259"/>
      <c r="E18" s="259"/>
      <c r="F18" s="259"/>
      <c r="G18" s="223">
        <f>SUM(G19:G36)</f>
        <v>10507740829267</v>
      </c>
      <c r="H18" s="223">
        <f t="shared" ref="H18:M18" si="3">SUM(H19:H36)</f>
        <v>698024647341.69006</v>
      </c>
      <c r="I18" s="223">
        <f t="shared" si="3"/>
        <v>9809307933093.3105</v>
      </c>
      <c r="J18" s="223">
        <f t="shared" si="3"/>
        <v>408248832</v>
      </c>
      <c r="K18" s="223">
        <f t="shared" si="3"/>
        <v>6012951320913.9795</v>
      </c>
      <c r="L18" s="224">
        <f t="shared" si="0"/>
        <v>0.57224016262051558</v>
      </c>
      <c r="M18" s="223">
        <f t="shared" si="3"/>
        <v>5148790757664.4102</v>
      </c>
      <c r="N18" s="224">
        <f t="shared" ref="N18:N34" si="4">+M18/$G18</f>
        <v>0.48999978599810784</v>
      </c>
      <c r="P18" s="198"/>
    </row>
    <row r="19" spans="1:16" ht="22.5" customHeight="1">
      <c r="A19" s="225"/>
      <c r="B19" s="226" t="s">
        <v>268</v>
      </c>
      <c r="C19" s="226" t="s">
        <v>256</v>
      </c>
      <c r="D19" s="226" t="s">
        <v>158</v>
      </c>
      <c r="E19" s="226" t="s">
        <v>37</v>
      </c>
      <c r="F19" s="227" t="s">
        <v>269</v>
      </c>
      <c r="G19" s="228">
        <f>+SUMIFS([1]VigenciaSIIF!T$3:T$32,[1]VigenciaSIIF!$C$3:$C$32,'Resumen Ejecución a 15-Nov-2024'!$B19,[1]VigenciaSIIF!$N$3:$N$32,'Resumen Ejecución a 15-Nov-2024'!$D19)</f>
        <v>64886072564</v>
      </c>
      <c r="H19" s="228">
        <f>+SUMIFS([1]VigenciaSIIF!U$3:U$32,[1]VigenciaSIIF!$C$3:$C$32,'Resumen Ejecución a 15-Nov-2024'!$B19,[1]VigenciaSIIF!$N$3:$N$32,'Resumen Ejecución a 15-Nov-2024'!$D19)</f>
        <v>10538983</v>
      </c>
      <c r="I19" s="228">
        <f>+SUMIFS([1]VigenciaSIIF!V$3:V$32,[1]VigenciaSIIF!$C$3:$C$32,'Resumen Ejecución a 15-Nov-2024'!$B19,[1]VigenciaSIIF!$N$3:$N$32,'Resumen Ejecución a 15-Nov-2024'!$D19)</f>
        <v>64867611081</v>
      </c>
      <c r="J19" s="228">
        <f>+SUMIFS([1]VigenciaSIIF!W$3:W$32,[1]VigenciaSIIF!$C$3:$C$32,'Resumen Ejecución a 15-Nov-2024'!$B19,[1]VigenciaSIIF!$N$3:$N$32,'Resumen Ejecución a 15-Nov-2024'!$D19)</f>
        <v>7922500</v>
      </c>
      <c r="K19" s="228">
        <f>+SUMIFS([1]VigenciaSIIF!X$3:X$32,[1]VigenciaSIIF!$C$3:$C$32,'Resumen Ejecución a 15-Nov-2024'!$B19,[1]VigenciaSIIF!$N$3:$N$32,'Resumen Ejecución a 15-Nov-2024'!$D19)</f>
        <v>57271779208.900002</v>
      </c>
      <c r="L19" s="229">
        <f t="shared" si="0"/>
        <v>0.88265134482304064</v>
      </c>
      <c r="M19" s="228">
        <f>+SUMIFS([1]VigenciaSIIF!Y$3:Y$32,[1]VigenciaSIIF!$C$3:$C$32,'Resumen Ejecución a 15-Nov-2024'!$B19,[1]VigenciaSIIF!$N$3:$N$32,'Resumen Ejecución a 15-Nov-2024'!$D19)</f>
        <v>31356115150.5</v>
      </c>
      <c r="N19" s="229">
        <f t="shared" si="4"/>
        <v>0.48324877606934952</v>
      </c>
    </row>
    <row r="20" spans="1:16" ht="22.5" customHeight="1">
      <c r="A20" s="225"/>
      <c r="B20" s="203" t="s">
        <v>270</v>
      </c>
      <c r="C20" s="203" t="s">
        <v>256</v>
      </c>
      <c r="D20" s="203" t="s">
        <v>158</v>
      </c>
      <c r="E20" s="203" t="s">
        <v>37</v>
      </c>
      <c r="F20" s="204" t="s">
        <v>271</v>
      </c>
      <c r="G20" s="205">
        <f>+SUMIFS([1]VigenciaSIIF!T$3:T$32,[1]VigenciaSIIF!$C$3:$C$32,'Resumen Ejecución a 15-Nov-2024'!$B20,[1]VigenciaSIIF!$N$3:$N$32,'Resumen Ejecución a 15-Nov-2024'!$D20)</f>
        <v>8466347888</v>
      </c>
      <c r="H20" s="205">
        <f>+SUMIFS([1]VigenciaSIIF!U$3:U$32,[1]VigenciaSIIF!$C$3:$C$32,'Resumen Ejecución a 15-Nov-2024'!$B20,[1]VigenciaSIIF!$N$3:$N$32,'Resumen Ejecución a 15-Nov-2024'!$D20)</f>
        <v>4971700</v>
      </c>
      <c r="I20" s="205">
        <f>+SUMIFS([1]VigenciaSIIF!V$3:V$32,[1]VigenciaSIIF!$C$3:$C$32,'Resumen Ejecución a 15-Nov-2024'!$B20,[1]VigenciaSIIF!$N$3:$N$32,'Resumen Ejecución a 15-Nov-2024'!$D20)</f>
        <v>8461139188</v>
      </c>
      <c r="J20" s="205">
        <f>+SUMIFS([1]VigenciaSIIF!W$3:W$32,[1]VigenciaSIIF!$C$3:$C$32,'Resumen Ejecución a 15-Nov-2024'!$B20,[1]VigenciaSIIF!$N$3:$N$32,'Resumen Ejecución a 15-Nov-2024'!$D20)</f>
        <v>237000</v>
      </c>
      <c r="K20" s="205">
        <f>+SUMIFS([1]VigenciaSIIF!X$3:X$32,[1]VigenciaSIIF!$C$3:$C$32,'Resumen Ejecución a 15-Nov-2024'!$B20,[1]VigenciaSIIF!$N$3:$N$32,'Resumen Ejecución a 15-Nov-2024'!$D20)</f>
        <v>6343261611.6599998</v>
      </c>
      <c r="L20" s="206">
        <f t="shared" si="0"/>
        <v>0.74923233672582579</v>
      </c>
      <c r="M20" s="205">
        <f>+SUMIFS([1]VigenciaSIIF!Y$3:Y$32,[1]VigenciaSIIF!$C$3:$C$32,'Resumen Ejecución a 15-Nov-2024'!$B20,[1]VigenciaSIIF!$N$3:$N$32,'Resumen Ejecución a 15-Nov-2024'!$D20)</f>
        <v>2288531324.0300002</v>
      </c>
      <c r="N20" s="206">
        <f t="shared" si="4"/>
        <v>0.27030915269542727</v>
      </c>
    </row>
    <row r="21" spans="1:16" ht="22.5" customHeight="1">
      <c r="A21" s="225"/>
      <c r="B21" s="203" t="s">
        <v>272</v>
      </c>
      <c r="C21" s="203" t="s">
        <v>256</v>
      </c>
      <c r="D21" s="203" t="s">
        <v>158</v>
      </c>
      <c r="E21" s="203" t="s">
        <v>37</v>
      </c>
      <c r="F21" s="204" t="s">
        <v>273</v>
      </c>
      <c r="G21" s="205">
        <f>+SUMIFS([1]VigenciaSIIF!T$3:T$32,[1]VigenciaSIIF!$C$3:$C$32,'Resumen Ejecución a 15-Nov-2024'!$B21,[1]VigenciaSIIF!$N$3:$N$32,'Resumen Ejecución a 15-Nov-2024'!$D21)</f>
        <v>16000000000</v>
      </c>
      <c r="H21" s="205">
        <f>+SUMIFS([1]VigenciaSIIF!U$3:U$32,[1]VigenciaSIIF!$C$3:$C$32,'Resumen Ejecución a 15-Nov-2024'!$B21,[1]VigenciaSIIF!$N$3:$N$32,'Resumen Ejecución a 15-Nov-2024'!$D21)</f>
        <v>21451838.68</v>
      </c>
      <c r="I21" s="205">
        <f>+SUMIFS([1]VigenciaSIIF!V$3:V$32,[1]VigenciaSIIF!$C$3:$C$32,'Resumen Ejecución a 15-Nov-2024'!$B21,[1]VigenciaSIIF!$N$3:$N$32,'Resumen Ejecución a 15-Nov-2024'!$D21)</f>
        <v>15978548161.32</v>
      </c>
      <c r="J21" s="205">
        <f>+SUMIFS([1]VigenciaSIIF!W$3:W$32,[1]VigenciaSIIF!$C$3:$C$32,'Resumen Ejecución a 15-Nov-2024'!$B21,[1]VigenciaSIIF!$N$3:$N$32,'Resumen Ejecución a 15-Nov-2024'!$D21)</f>
        <v>0</v>
      </c>
      <c r="K21" s="205">
        <f>+SUMIFS([1]VigenciaSIIF!X$3:X$32,[1]VigenciaSIIF!$C$3:$C$32,'Resumen Ejecución a 15-Nov-2024'!$B21,[1]VigenciaSIIF!$N$3:$N$32,'Resumen Ejecución a 15-Nov-2024'!$D21)</f>
        <v>10737999584.32</v>
      </c>
      <c r="L21" s="206">
        <f t="shared" si="0"/>
        <v>0.67112497401999993</v>
      </c>
      <c r="M21" s="205">
        <f>+SUMIFS([1]VigenciaSIIF!Y$3:Y$32,[1]VigenciaSIIF!$C$3:$C$32,'Resumen Ejecución a 15-Nov-2024'!$B21,[1]VigenciaSIIF!$N$3:$N$32,'Resumen Ejecución a 15-Nov-2024'!$D21)</f>
        <v>1337464466.3199999</v>
      </c>
      <c r="N21" s="206">
        <f t="shared" si="4"/>
        <v>8.3591529144999996E-2</v>
      </c>
    </row>
    <row r="22" spans="1:16" ht="22.5" customHeight="1">
      <c r="A22" s="225"/>
      <c r="B22" s="203" t="s">
        <v>274</v>
      </c>
      <c r="C22" s="203" t="s">
        <v>256</v>
      </c>
      <c r="D22" s="203" t="s">
        <v>158</v>
      </c>
      <c r="E22" s="203" t="s">
        <v>37</v>
      </c>
      <c r="F22" s="204" t="s">
        <v>275</v>
      </c>
      <c r="G22" s="205">
        <f>+SUMIFS([1]VigenciaSIIF!T$3:T$32,[1]VigenciaSIIF!$C$3:$C$32,'Resumen Ejecución a 15-Nov-2024'!$B22,[1]VigenciaSIIF!$N$3:$N$32,'Resumen Ejecución a 15-Nov-2024'!$D22)</f>
        <v>12000000000</v>
      </c>
      <c r="H22" s="205">
        <f>+SUMIFS([1]VigenciaSIIF!U$3:U$32,[1]VigenciaSIIF!$C$3:$C$32,'Resumen Ejecución a 15-Nov-2024'!$B22,[1]VigenciaSIIF!$N$3:$N$32,'Resumen Ejecución a 15-Nov-2024'!$D22)</f>
        <v>0</v>
      </c>
      <c r="I22" s="205">
        <f>+SUMIFS([1]VigenciaSIIF!V$3:V$32,[1]VigenciaSIIF!$C$3:$C$32,'Resumen Ejecución a 15-Nov-2024'!$B22,[1]VigenciaSIIF!$N$3:$N$32,'Resumen Ejecución a 15-Nov-2024'!$D22)</f>
        <v>12000000000</v>
      </c>
      <c r="J22" s="205">
        <f>+SUMIFS([1]VigenciaSIIF!W$3:W$32,[1]VigenciaSIIF!$C$3:$C$32,'Resumen Ejecución a 15-Nov-2024'!$B22,[1]VigenciaSIIF!$N$3:$N$32,'Resumen Ejecución a 15-Nov-2024'!$D22)</f>
        <v>0</v>
      </c>
      <c r="K22" s="205">
        <f>+SUMIFS([1]VigenciaSIIF!X$3:X$32,[1]VigenciaSIIF!$C$3:$C$32,'Resumen Ejecución a 15-Nov-2024'!$B22,[1]VigenciaSIIF!$N$3:$N$32,'Resumen Ejecución a 15-Nov-2024'!$D22)</f>
        <v>9139789127</v>
      </c>
      <c r="L22" s="206">
        <f t="shared" si="0"/>
        <v>0.76164909391666669</v>
      </c>
      <c r="M22" s="205">
        <f>+SUMIFS([1]VigenciaSIIF!Y$3:Y$32,[1]VigenciaSIIF!$C$3:$C$32,'Resumen Ejecución a 15-Nov-2024'!$B22,[1]VigenciaSIIF!$N$3:$N$32,'Resumen Ejecución a 15-Nov-2024'!$D22)</f>
        <v>9139789127</v>
      </c>
      <c r="N22" s="206">
        <f t="shared" si="4"/>
        <v>0.76164909391666669</v>
      </c>
    </row>
    <row r="23" spans="1:16" ht="22.5" customHeight="1">
      <c r="A23" s="225"/>
      <c r="B23" s="203" t="s">
        <v>276</v>
      </c>
      <c r="C23" s="203" t="s">
        <v>256</v>
      </c>
      <c r="D23" s="203" t="s">
        <v>158</v>
      </c>
      <c r="E23" s="203" t="s">
        <v>37</v>
      </c>
      <c r="F23" s="204" t="s">
        <v>275</v>
      </c>
      <c r="G23" s="205">
        <f>+SUMIFS([1]VigenciaSIIF!T$3:T$32,[1]VigenciaSIIF!$C$3:$C$32,'Resumen Ejecución a 15-Nov-2024'!$B23,[1]VigenciaSIIF!$N$3:$N$32,'Resumen Ejecución a 15-Nov-2024'!$D23)</f>
        <v>28000000000</v>
      </c>
      <c r="H23" s="205">
        <f>+SUMIFS([1]VigenciaSIIF!U$3:U$32,[1]VigenciaSIIF!$C$3:$C$32,'Resumen Ejecución a 15-Nov-2024'!$B23,[1]VigenciaSIIF!$N$3:$N$32,'Resumen Ejecución a 15-Nov-2024'!$D23)</f>
        <v>92478600</v>
      </c>
      <c r="I23" s="205">
        <f>+SUMIFS([1]VigenciaSIIF!V$3:V$32,[1]VigenciaSIIF!$C$3:$C$32,'Resumen Ejecución a 15-Nov-2024'!$B23,[1]VigenciaSIIF!$N$3:$N$32,'Resumen Ejecución a 15-Nov-2024'!$D23)</f>
        <v>27809488067</v>
      </c>
      <c r="J23" s="205">
        <f>+SUMIFS([1]VigenciaSIIF!W$3:W$32,[1]VigenciaSIIF!$C$3:$C$32,'Resumen Ejecución a 15-Nov-2024'!$B23,[1]VigenciaSIIF!$N$3:$N$32,'Resumen Ejecución a 15-Nov-2024'!$D23)</f>
        <v>98033333</v>
      </c>
      <c r="K23" s="205">
        <f>+SUMIFS([1]VigenciaSIIF!X$3:X$32,[1]VigenciaSIIF!$C$3:$C$32,'Resumen Ejecución a 15-Nov-2024'!$B23,[1]VigenciaSIIF!$N$3:$N$32,'Resumen Ejecución a 15-Nov-2024'!$D23)</f>
        <v>18397139599.200001</v>
      </c>
      <c r="L23" s="206">
        <f t="shared" si="0"/>
        <v>0.65704069997142855</v>
      </c>
      <c r="M23" s="205">
        <f>+SUMIFS([1]VigenciaSIIF!Y$3:Y$32,[1]VigenciaSIIF!$C$3:$C$32,'Resumen Ejecución a 15-Nov-2024'!$B23,[1]VigenciaSIIF!$N$3:$N$32,'Resumen Ejecución a 15-Nov-2024'!$D23)</f>
        <v>1489548515.48</v>
      </c>
      <c r="N23" s="206">
        <f t="shared" si="4"/>
        <v>5.3198161267142857E-2</v>
      </c>
    </row>
    <row r="24" spans="1:16" ht="22.5" customHeight="1">
      <c r="A24" s="225"/>
      <c r="B24" s="203" t="s">
        <v>277</v>
      </c>
      <c r="C24" s="203" t="s">
        <v>256</v>
      </c>
      <c r="D24" s="203" t="s">
        <v>36</v>
      </c>
      <c r="E24" s="203" t="s">
        <v>37</v>
      </c>
      <c r="F24" s="204" t="s">
        <v>278</v>
      </c>
      <c r="G24" s="205">
        <f>+SUMIFS([1]VigenciaSIIF!T$3:T$32,[1]VigenciaSIIF!$C$3:$C$32,'Resumen Ejecución a 15-Nov-2024'!$B24,[1]VigenciaSIIF!$N$3:$N$32,'Resumen Ejecución a 15-Nov-2024'!$D24)</f>
        <v>500000000</v>
      </c>
      <c r="H24" s="205">
        <f>+SUMIFS([1]VigenciaSIIF!U$3:U$32,[1]VigenciaSIIF!$C$3:$C$32,'Resumen Ejecución a 15-Nov-2024'!$B24,[1]VigenciaSIIF!$N$3:$N$32,'Resumen Ejecución a 15-Nov-2024'!$D24)</f>
        <v>0</v>
      </c>
      <c r="I24" s="205">
        <f>+SUMIFS([1]VigenciaSIIF!V$3:V$32,[1]VigenciaSIIF!$C$3:$C$32,'Resumen Ejecución a 15-Nov-2024'!$B24,[1]VigenciaSIIF!$N$3:$N$32,'Resumen Ejecución a 15-Nov-2024'!$D24)</f>
        <v>500000000</v>
      </c>
      <c r="J24" s="205">
        <f>+SUMIFS([1]VigenciaSIIF!W$3:W$32,[1]VigenciaSIIF!$C$3:$C$32,'Resumen Ejecución a 15-Nov-2024'!$B24,[1]VigenciaSIIF!$N$3:$N$32,'Resumen Ejecución a 15-Nov-2024'!$D24)</f>
        <v>0</v>
      </c>
      <c r="K24" s="205">
        <f>+SUMIFS([1]VigenciaSIIF!X$3:X$32,[1]VigenciaSIIF!$C$3:$C$32,'Resumen Ejecución a 15-Nov-2024'!$B24,[1]VigenciaSIIF!$N$3:$N$32,'Resumen Ejecución a 15-Nov-2024'!$D24)</f>
        <v>0</v>
      </c>
      <c r="L24" s="206">
        <f t="shared" si="0"/>
        <v>0</v>
      </c>
      <c r="M24" s="205">
        <f>+SUMIFS([1]VigenciaSIIF!Y$3:Y$32,[1]VigenciaSIIF!$C$3:$C$32,'Resumen Ejecución a 15-Nov-2024'!$B24,[1]VigenciaSIIF!$N$3:$N$32,'Resumen Ejecución a 15-Nov-2024'!$D24)</f>
        <v>0</v>
      </c>
      <c r="N24" s="206">
        <f t="shared" si="4"/>
        <v>0</v>
      </c>
    </row>
    <row r="25" spans="1:16" ht="22.5" customHeight="1">
      <c r="A25" s="225"/>
      <c r="B25" s="203" t="s">
        <v>279</v>
      </c>
      <c r="C25" s="203" t="s">
        <v>256</v>
      </c>
      <c r="D25" s="203" t="s">
        <v>36</v>
      </c>
      <c r="E25" s="203" t="s">
        <v>37</v>
      </c>
      <c r="F25" s="204" t="s">
        <v>280</v>
      </c>
      <c r="G25" s="205">
        <f>+SUMIFS([1]VigenciaSIIF!T$3:T$32,[1]VigenciaSIIF!$C$3:$C$32,'Resumen Ejecución a 15-Nov-2024'!$B25,[1]VigenciaSIIF!$N$3:$N$32,'Resumen Ejecución a 15-Nov-2024'!$D25)</f>
        <v>120965813197</v>
      </c>
      <c r="H25" s="205">
        <f>+SUMIFS([1]VigenciaSIIF!U$3:U$32,[1]VigenciaSIIF!$C$3:$C$32,'Resumen Ejecución a 15-Nov-2024'!$B25,[1]VigenciaSIIF!$N$3:$N$32,'Resumen Ejecución a 15-Nov-2024'!$D25)</f>
        <v>0</v>
      </c>
      <c r="I25" s="205">
        <f>+SUMIFS([1]VigenciaSIIF!V$3:V$32,[1]VigenciaSIIF!$C$3:$C$32,'Resumen Ejecución a 15-Nov-2024'!$B25,[1]VigenciaSIIF!$N$3:$N$32,'Resumen Ejecución a 15-Nov-2024'!$D25)</f>
        <v>120965813197</v>
      </c>
      <c r="J25" s="205">
        <f>+SUMIFS([1]VigenciaSIIF!W$3:W$32,[1]VigenciaSIIF!$C$3:$C$32,'Resumen Ejecución a 15-Nov-2024'!$B25,[1]VigenciaSIIF!$N$3:$N$32,'Resumen Ejecución a 15-Nov-2024'!$D25)</f>
        <v>0</v>
      </c>
      <c r="K25" s="205">
        <f>+SUMIFS([1]VigenciaSIIF!X$3:X$32,[1]VigenciaSIIF!$C$3:$C$32,'Resumen Ejecución a 15-Nov-2024'!$B25,[1]VigenciaSIIF!$N$3:$N$32,'Resumen Ejecución a 15-Nov-2024'!$D25)</f>
        <v>120965813197</v>
      </c>
      <c r="L25" s="206">
        <f t="shared" si="0"/>
        <v>1</v>
      </c>
      <c r="M25" s="205">
        <f>+SUMIFS([1]VigenciaSIIF!Y$3:Y$32,[1]VigenciaSIIF!$C$3:$C$32,'Resumen Ejecución a 15-Nov-2024'!$B25,[1]VigenciaSIIF!$N$3:$N$32,'Resumen Ejecución a 15-Nov-2024'!$D25)</f>
        <v>64500604146.82</v>
      </c>
      <c r="N25" s="206">
        <f t="shared" si="4"/>
        <v>0.53321349596333423</v>
      </c>
      <c r="P25" s="230"/>
    </row>
    <row r="26" spans="1:16" ht="22.5" customHeight="1">
      <c r="A26" s="225"/>
      <c r="B26" s="203" t="s">
        <v>279</v>
      </c>
      <c r="C26" s="203" t="s">
        <v>256</v>
      </c>
      <c r="D26" s="203" t="s">
        <v>158</v>
      </c>
      <c r="E26" s="203" t="s">
        <v>37</v>
      </c>
      <c r="F26" s="204" t="s">
        <v>280</v>
      </c>
      <c r="G26" s="205">
        <f>+SUMIFS([1]VigenciaSIIF!T$3:T$32,[1]VigenciaSIIF!$C$3:$C$32,'Resumen Ejecución a 15-Nov-2024'!$B26,[1]VigenciaSIIF!$N$3:$N$32,'Resumen Ejecución a 15-Nov-2024'!$D26)</f>
        <v>518802439419</v>
      </c>
      <c r="H26" s="205">
        <f>+SUMIFS([1]VigenciaSIIF!U$3:U$32,[1]VigenciaSIIF!$C$3:$C$32,'Resumen Ejecución a 15-Nov-2024'!$B26,[1]VigenciaSIIF!$N$3:$N$32,'Resumen Ejecución a 15-Nov-2024'!$D26)</f>
        <v>8022441459.4700003</v>
      </c>
      <c r="I26" s="205">
        <f>+SUMIFS([1]VigenciaSIIF!V$3:V$32,[1]VigenciaSIIF!$C$3:$C$32,'Resumen Ejecución a 15-Nov-2024'!$B26,[1]VigenciaSIIF!$N$3:$N$32,'Resumen Ejecución a 15-Nov-2024'!$D26)</f>
        <v>510500953627.53003</v>
      </c>
      <c r="J26" s="205">
        <f>+SUMIFS([1]VigenciaSIIF!W$3:W$32,[1]VigenciaSIIF!$C$3:$C$32,'Resumen Ejecución a 15-Nov-2024'!$B26,[1]VigenciaSIIF!$N$3:$N$32,'Resumen Ejecución a 15-Nov-2024'!$D26)</f>
        <v>279044332</v>
      </c>
      <c r="K26" s="205">
        <f>+SUMIFS([1]VigenciaSIIF!X$3:X$32,[1]VigenciaSIIF!$C$3:$C$32,'Resumen Ejecución a 15-Nov-2024'!$B26,[1]VigenciaSIIF!$N$3:$N$32,'Resumen Ejecución a 15-Nov-2024'!$D26)</f>
        <v>430103466466.32001</v>
      </c>
      <c r="L26" s="206">
        <f t="shared" si="0"/>
        <v>0.82903131093212901</v>
      </c>
      <c r="M26" s="205">
        <f>+SUMIFS([1]VigenciaSIIF!Y$3:Y$32,[1]VigenciaSIIF!$C$3:$C$32,'Resumen Ejecución a 15-Nov-2024'!$B26,[1]VigenciaSIIF!$N$3:$N$32,'Resumen Ejecución a 15-Nov-2024'!$D26)</f>
        <v>133034980063.28</v>
      </c>
      <c r="N26" s="206">
        <f t="shared" si="4"/>
        <v>0.25642705190874604</v>
      </c>
      <c r="P26" s="230"/>
    </row>
    <row r="27" spans="1:16" ht="22.5" customHeight="1">
      <c r="A27" s="225"/>
      <c r="B27" s="203" t="s">
        <v>281</v>
      </c>
      <c r="C27" s="203" t="s">
        <v>256</v>
      </c>
      <c r="D27" s="203" t="s">
        <v>36</v>
      </c>
      <c r="E27" s="203" t="s">
        <v>37</v>
      </c>
      <c r="F27" s="204" t="s">
        <v>282</v>
      </c>
      <c r="G27" s="205">
        <f>+SUMIFS([1]VigenciaSIIF!T$3:T$32,[1]VigenciaSIIF!$C$3:$C$32,'Resumen Ejecución a 15-Nov-2024'!$B27,[1]VigenciaSIIF!$N$3:$N$32,'Resumen Ejecución a 15-Nov-2024'!$D27)</f>
        <v>40000000000</v>
      </c>
      <c r="H27" s="205">
        <f>+SUMIFS([1]VigenciaSIIF!U$3:U$32,[1]VigenciaSIIF!$C$3:$C$32,'Resumen Ejecución a 15-Nov-2024'!$B27,[1]VigenciaSIIF!$N$3:$N$32,'Resumen Ejecución a 15-Nov-2024'!$D27)</f>
        <v>0</v>
      </c>
      <c r="I27" s="205">
        <f>+SUMIFS([1]VigenciaSIIF!V$3:V$32,[1]VigenciaSIIF!$C$3:$C$32,'Resumen Ejecución a 15-Nov-2024'!$B27,[1]VigenciaSIIF!$N$3:$N$32,'Resumen Ejecución a 15-Nov-2024'!$D27)</f>
        <v>40000000000</v>
      </c>
      <c r="J27" s="205">
        <f>+SUMIFS([1]VigenciaSIIF!W$3:W$32,[1]VigenciaSIIF!$C$3:$C$32,'Resumen Ejecución a 15-Nov-2024'!$B27,[1]VigenciaSIIF!$N$3:$N$32,'Resumen Ejecución a 15-Nov-2024'!$D27)</f>
        <v>0</v>
      </c>
      <c r="K27" s="205">
        <f>+SUMIFS([1]VigenciaSIIF!X$3:X$32,[1]VigenciaSIIF!$C$3:$C$32,'Resumen Ejecución a 15-Nov-2024'!$B27,[1]VigenciaSIIF!$N$3:$N$32,'Resumen Ejecución a 15-Nov-2024'!$D27)</f>
        <v>0</v>
      </c>
      <c r="L27" s="206">
        <f t="shared" si="0"/>
        <v>0</v>
      </c>
      <c r="M27" s="205">
        <f>+SUMIFS([1]VigenciaSIIF!Y$3:Y$32,[1]VigenciaSIIF!$C$3:$C$32,'Resumen Ejecución a 15-Nov-2024'!$B27,[1]VigenciaSIIF!$N$3:$N$32,'Resumen Ejecución a 15-Nov-2024'!$D27)</f>
        <v>0</v>
      </c>
      <c r="N27" s="206">
        <f t="shared" si="4"/>
        <v>0</v>
      </c>
    </row>
    <row r="28" spans="1:16" ht="22.5" customHeight="1">
      <c r="A28" s="225"/>
      <c r="B28" s="203" t="s">
        <v>281</v>
      </c>
      <c r="C28" s="203" t="s">
        <v>256</v>
      </c>
      <c r="D28" s="203" t="s">
        <v>158</v>
      </c>
      <c r="E28" s="203" t="s">
        <v>37</v>
      </c>
      <c r="F28" s="204" t="s">
        <v>282</v>
      </c>
      <c r="G28" s="205">
        <f>+SUMIFS([1]VigenciaSIIF!T$3:T$32,[1]VigenciaSIIF!$C$3:$C$32,'Resumen Ejecución a 15-Nov-2024'!$B28,[1]VigenciaSIIF!$N$3:$N$32,'Resumen Ejecución a 15-Nov-2024'!$D28)</f>
        <v>40000000000</v>
      </c>
      <c r="H28" s="205">
        <f>+SUMIFS([1]VigenciaSIIF!U$3:U$32,[1]VigenciaSIIF!$C$3:$C$32,'Resumen Ejecución a 15-Nov-2024'!$B28,[1]VigenciaSIIF!$N$3:$N$32,'Resumen Ejecución a 15-Nov-2024'!$D28)</f>
        <v>796452000</v>
      </c>
      <c r="I28" s="205">
        <f>+SUMIFS([1]VigenciaSIIF!V$3:V$32,[1]VigenciaSIIF!$C$3:$C$32,'Resumen Ejecución a 15-Nov-2024'!$B28,[1]VigenciaSIIF!$N$3:$N$32,'Resumen Ejecución a 15-Nov-2024'!$D28)</f>
        <v>39203548000</v>
      </c>
      <c r="J28" s="205">
        <f>+SUMIFS([1]VigenciaSIIF!W$3:W$32,[1]VigenciaSIIF!$C$3:$C$32,'Resumen Ejecución a 15-Nov-2024'!$B28,[1]VigenciaSIIF!$N$3:$N$32,'Resumen Ejecución a 15-Nov-2024'!$D28)</f>
        <v>0</v>
      </c>
      <c r="K28" s="205">
        <f>+SUMIFS([1]VigenciaSIIF!X$3:X$32,[1]VigenciaSIIF!$C$3:$C$32,'Resumen Ejecución a 15-Nov-2024'!$B28,[1]VigenciaSIIF!$N$3:$N$32,'Resumen Ejecución a 15-Nov-2024'!$D28)</f>
        <v>11422118656.120001</v>
      </c>
      <c r="L28" s="206">
        <f t="shared" si="0"/>
        <v>0.28555296640300004</v>
      </c>
      <c r="M28" s="205">
        <f>+SUMIFS([1]VigenciaSIIF!Y$3:Y$32,[1]VigenciaSIIF!$C$3:$C$32,'Resumen Ejecución a 15-Nov-2024'!$B28,[1]VigenciaSIIF!$N$3:$N$32,'Resumen Ejecución a 15-Nov-2024'!$D28)</f>
        <v>5643420466.6599998</v>
      </c>
      <c r="N28" s="206">
        <f t="shared" si="4"/>
        <v>0.14108551166649999</v>
      </c>
    </row>
    <row r="29" spans="1:16" ht="22.5" customHeight="1">
      <c r="A29" s="225"/>
      <c r="B29" s="203" t="s">
        <v>283</v>
      </c>
      <c r="C29" s="203" t="s">
        <v>256</v>
      </c>
      <c r="D29" s="203" t="s">
        <v>158</v>
      </c>
      <c r="E29" s="203" t="s">
        <v>37</v>
      </c>
      <c r="F29" s="204" t="s">
        <v>284</v>
      </c>
      <c r="G29" s="205">
        <f>+SUMIFS([1]VigenciaSIIF!T$3:T$32,[1]VigenciaSIIF!$C$3:$C$32,'Resumen Ejecución a 15-Nov-2024'!$B29,[1]VigenciaSIIF!$N$3:$N$32,'Resumen Ejecución a 15-Nov-2024'!$D29)</f>
        <v>0</v>
      </c>
      <c r="H29" s="205">
        <f>+SUMIFS([1]VigenciaSIIF!U$3:U$32,[1]VigenciaSIIF!$C$3:$C$32,'Resumen Ejecución a 15-Nov-2024'!$B29,[1]VigenciaSIIF!$N$3:$N$32,'Resumen Ejecución a 15-Nov-2024'!$D29)</f>
        <v>0</v>
      </c>
      <c r="I29" s="205">
        <f>+SUMIFS([1]VigenciaSIIF!V$3:V$32,[1]VigenciaSIIF!$C$3:$C$32,'Resumen Ejecución a 15-Nov-2024'!$B29,[1]VigenciaSIIF!$N$3:$N$32,'Resumen Ejecución a 15-Nov-2024'!$D29)</f>
        <v>0</v>
      </c>
      <c r="J29" s="205">
        <f>+SUMIFS([1]VigenciaSIIF!W$3:W$32,[1]VigenciaSIIF!$C$3:$C$32,'Resumen Ejecución a 15-Nov-2024'!$B29,[1]VigenciaSIIF!$N$3:$N$32,'Resumen Ejecución a 15-Nov-2024'!$D29)</f>
        <v>0</v>
      </c>
      <c r="K29" s="205">
        <f>+SUMIFS([1]VigenciaSIIF!X$3:X$32,[1]VigenciaSIIF!$C$3:$C$32,'Resumen Ejecución a 15-Nov-2024'!$B29,[1]VigenciaSIIF!$N$3:$N$32,'Resumen Ejecución a 15-Nov-2024'!$D29)</f>
        <v>0</v>
      </c>
      <c r="L29" s="206" t="e">
        <f t="shared" si="0"/>
        <v>#DIV/0!</v>
      </c>
      <c r="M29" s="205">
        <f>+SUMIFS([1]VigenciaSIIF!Y$3:Y$32,[1]VigenciaSIIF!$C$3:$C$32,'Resumen Ejecución a 15-Nov-2024'!$B29,[1]VigenciaSIIF!$N$3:$N$32,'Resumen Ejecución a 15-Nov-2024'!$D29)</f>
        <v>0</v>
      </c>
      <c r="N29" s="206" t="e">
        <f t="shared" si="4"/>
        <v>#DIV/0!</v>
      </c>
    </row>
    <row r="30" spans="1:16" ht="22.5" customHeight="1">
      <c r="A30" s="225"/>
      <c r="B30" s="203" t="s">
        <v>285</v>
      </c>
      <c r="C30" s="203" t="s">
        <v>256</v>
      </c>
      <c r="D30" s="203" t="s">
        <v>158</v>
      </c>
      <c r="E30" s="203" t="s">
        <v>37</v>
      </c>
      <c r="F30" s="204" t="s">
        <v>286</v>
      </c>
      <c r="G30" s="205">
        <f>+SUMIFS([1]VigenciaSIIF!T$3:T$32,[1]VigenciaSIIF!$C$3:$C$32,'Resumen Ejecución a 15-Nov-2024'!$B30,[1]VigenciaSIIF!$N$3:$N$32,'Resumen Ejecución a 15-Nov-2024'!$D30)</f>
        <v>566097299200</v>
      </c>
      <c r="H30" s="205">
        <f>+SUMIFS([1]VigenciaSIIF!U$3:U$32,[1]VigenciaSIIF!$C$3:$C$32,'Resumen Ejecución a 15-Nov-2024'!$B30,[1]VigenciaSIIF!$N$3:$N$32,'Resumen Ejecución a 15-Nov-2024'!$D30)</f>
        <v>379739499200</v>
      </c>
      <c r="I30" s="205">
        <f>+SUMIFS([1]VigenciaSIIF!V$3:V$32,[1]VigenciaSIIF!$C$3:$C$32,'Resumen Ejecución a 15-Nov-2024'!$B30,[1]VigenciaSIIF!$N$3:$N$32,'Resumen Ejecución a 15-Nov-2024'!$D30)</f>
        <v>186357800000</v>
      </c>
      <c r="J30" s="205">
        <f>+SUMIFS([1]VigenciaSIIF!W$3:W$32,[1]VigenciaSIIF!$C$3:$C$32,'Resumen Ejecución a 15-Nov-2024'!$B30,[1]VigenciaSIIF!$N$3:$N$32,'Resumen Ejecución a 15-Nov-2024'!$D30)</f>
        <v>0</v>
      </c>
      <c r="K30" s="205">
        <f>+SUMIFS([1]VigenciaSIIF!X$3:X$32,[1]VigenciaSIIF!$C$3:$C$32,'Resumen Ejecución a 15-Nov-2024'!$B30,[1]VigenciaSIIF!$N$3:$N$32,'Resumen Ejecución a 15-Nov-2024'!$D30)</f>
        <v>9409800000</v>
      </c>
      <c r="L30" s="206">
        <f t="shared" si="0"/>
        <v>1.6622230866138708E-2</v>
      </c>
      <c r="M30" s="205">
        <f>+SUMIFS([1]VigenciaSIIF!Y$3:Y$32,[1]VigenciaSIIF!$C$3:$C$32,'Resumen Ejecución a 15-Nov-2024'!$B30,[1]VigenciaSIIF!$N$3:$N$32,'Resumen Ejecución a 15-Nov-2024'!$D30)</f>
        <v>9366600000</v>
      </c>
      <c r="N30" s="206">
        <f t="shared" si="4"/>
        <v>1.6545918896339436E-2</v>
      </c>
    </row>
    <row r="31" spans="1:16" ht="22.5" customHeight="1">
      <c r="A31" s="225"/>
      <c r="B31" s="203" t="s">
        <v>287</v>
      </c>
      <c r="C31" s="203" t="s">
        <v>256</v>
      </c>
      <c r="D31" s="203" t="s">
        <v>36</v>
      </c>
      <c r="E31" s="203" t="s">
        <v>37</v>
      </c>
      <c r="F31" s="204" t="s">
        <v>288</v>
      </c>
      <c r="G31" s="205">
        <f>+SUMIFS([1]VigenciaSIIF!T$3:T$32,[1]VigenciaSIIF!$C$3:$C$32,'Resumen Ejecución a 15-Nov-2024'!$B31,[1]VigenciaSIIF!$N$3:$N$32,'Resumen Ejecución a 15-Nov-2024'!$D31)</f>
        <v>7804394728257</v>
      </c>
      <c r="H31" s="205">
        <f>+SUMIFS([1]VigenciaSIIF!U$3:U$32,[1]VigenciaSIIF!$C$3:$C$32,'Resumen Ejecución a 15-Nov-2024'!$B31,[1]VigenciaSIIF!$N$3:$N$32,'Resumen Ejecución a 15-Nov-2024'!$D31)</f>
        <v>233233617592</v>
      </c>
      <c r="I31" s="205">
        <f>+SUMIFS([1]VigenciaSIIF!V$3:V$32,[1]VigenciaSIIF!$C$3:$C$32,'Resumen Ejecución a 15-Nov-2024'!$B31,[1]VigenciaSIIF!$N$3:$N$32,'Resumen Ejecución a 15-Nov-2024'!$D31)</f>
        <v>7571159535665</v>
      </c>
      <c r="J31" s="205">
        <f>+SUMIFS([1]VigenciaSIIF!W$3:W$32,[1]VigenciaSIIF!$C$3:$C$32,'Resumen Ejecución a 15-Nov-2024'!$B31,[1]VigenciaSIIF!$N$3:$N$32,'Resumen Ejecución a 15-Nov-2024'!$D31)</f>
        <v>1575000</v>
      </c>
      <c r="K31" s="205">
        <f>+SUMIFS([1]VigenciaSIIF!X$3:X$32,[1]VigenciaSIIF!$C$3:$C$32,'Resumen Ejecución a 15-Nov-2024'!$B31,[1]VigenciaSIIF!$N$3:$N$32,'Resumen Ejecución a 15-Nov-2024'!$D31)</f>
        <v>4455484533003</v>
      </c>
      <c r="L31" s="206">
        <f t="shared" si="0"/>
        <v>0.57089430867345026</v>
      </c>
      <c r="M31" s="205">
        <f>+SUMIFS([1]VigenciaSIIF!Y$3:Y$32,[1]VigenciaSIIF!$C$3:$C$32,'Resumen Ejecución a 15-Nov-2024'!$B31,[1]VigenciaSIIF!$N$3:$N$32,'Resumen Ejecución a 15-Nov-2024'!$D31)</f>
        <v>4101737753206</v>
      </c>
      <c r="N31" s="206">
        <f t="shared" si="4"/>
        <v>0.52556769564141004</v>
      </c>
    </row>
    <row r="32" spans="1:16" ht="22.5" customHeight="1">
      <c r="A32" s="225"/>
      <c r="B32" s="203" t="s">
        <v>287</v>
      </c>
      <c r="C32" s="203" t="s">
        <v>256</v>
      </c>
      <c r="D32" s="203" t="s">
        <v>199</v>
      </c>
      <c r="E32" s="203" t="s">
        <v>159</v>
      </c>
      <c r="F32" s="204" t="s">
        <v>289</v>
      </c>
      <c r="G32" s="205">
        <f>+SUMIFS([1]VigenciaSIIF!T$3:T$32,[1]VigenciaSIIF!$C$3:$C$32,'Resumen Ejecución a 15-Nov-2024'!$B32,[1]VigenciaSIIF!$N$3:$N$32,'Resumen Ejecución a 15-Nov-2024'!$D32)</f>
        <v>941009196196</v>
      </c>
      <c r="H32" s="205">
        <f>+SUMIFS([1]VigenciaSIIF!U$3:U$32,[1]VigenciaSIIF!$C$3:$C$32,'Resumen Ejecución a 15-Nov-2024'!$B32,[1]VigenciaSIIF!$N$3:$N$32,'Resumen Ejecución a 15-Nov-2024'!$D32)</f>
        <v>0</v>
      </c>
      <c r="I32" s="205">
        <f>+SUMIFS([1]VigenciaSIIF!V$3:V$32,[1]VigenciaSIIF!$C$3:$C$32,'Resumen Ejecución a 15-Nov-2024'!$B32,[1]VigenciaSIIF!$N$3:$N$32,'Resumen Ejecución a 15-Nov-2024'!$D32)</f>
        <v>941009196196</v>
      </c>
      <c r="J32" s="205">
        <f>+SUMIFS([1]VigenciaSIIF!W$3:W$32,[1]VigenciaSIIF!$C$3:$C$32,'Resumen Ejecución a 15-Nov-2024'!$B32,[1]VigenciaSIIF!$N$3:$N$32,'Resumen Ejecución a 15-Nov-2024'!$D32)</f>
        <v>0</v>
      </c>
      <c r="K32" s="205">
        <f>+SUMIFS([1]VigenciaSIIF!X$3:X$32,[1]VigenciaSIIF!$C$3:$C$32,'Resumen Ejecución a 15-Nov-2024'!$B32,[1]VigenciaSIIF!$N$3:$N$32,'Resumen Ejecución a 15-Nov-2024'!$D32)</f>
        <v>855462905632</v>
      </c>
      <c r="L32" s="206">
        <f t="shared" si="0"/>
        <v>0.90909090909013623</v>
      </c>
      <c r="M32" s="205">
        <f>+SUMIFS([1]VigenciaSIIF!Y$3:Y$32,[1]VigenciaSIIF!$C$3:$C$32,'Resumen Ejecución a 15-Nov-2024'!$B32,[1]VigenciaSIIF!$N$3:$N$32,'Resumen Ejecución a 15-Nov-2024'!$D32)</f>
        <v>769916615067</v>
      </c>
      <c r="N32" s="206">
        <f t="shared" si="4"/>
        <v>0.81818181817920976</v>
      </c>
    </row>
    <row r="33" spans="1:16" ht="22.5" customHeight="1">
      <c r="A33" s="225"/>
      <c r="B33" s="203" t="s">
        <v>290</v>
      </c>
      <c r="C33" s="203" t="s">
        <v>256</v>
      </c>
      <c r="D33" s="203" t="s">
        <v>36</v>
      </c>
      <c r="E33" s="203" t="s">
        <v>37</v>
      </c>
      <c r="F33" s="204" t="s">
        <v>291</v>
      </c>
      <c r="G33" s="205">
        <f>+SUMIFS([1]VigenciaSIIF!T$3:T$32,[1]VigenciaSIIF!$C$3:$C$32,'Resumen Ejecución a 15-Nov-2024'!$B33,[1]VigenciaSIIF!$N$3:$N$32,'Resumen Ejecución a 15-Nov-2024'!$D33)</f>
        <v>35337347464</v>
      </c>
      <c r="H33" s="205">
        <f>+SUMIFS([1]VigenciaSIIF!U$3:U$32,[1]VigenciaSIIF!$C$3:$C$32,'Resumen Ejecución a 15-Nov-2024'!$B33,[1]VigenciaSIIF!$N$3:$N$32,'Resumen Ejecución a 15-Nov-2024'!$D33)</f>
        <v>7103195968.54</v>
      </c>
      <c r="I33" s="205">
        <f>+SUMIFS([1]VigenciaSIIF!V$3:V$32,[1]VigenciaSIIF!$C$3:$C$32,'Resumen Ejecución a 15-Nov-2024'!$B33,[1]VigenciaSIIF!$N$3:$N$32,'Resumen Ejecución a 15-Nov-2024'!$D33)</f>
        <v>28212714828.459999</v>
      </c>
      <c r="J33" s="205">
        <f>+SUMIFS([1]VigenciaSIIF!W$3:W$32,[1]VigenciaSIIF!$C$3:$C$32,'Resumen Ejecución a 15-Nov-2024'!$B33,[1]VigenciaSIIF!$N$3:$N$32,'Resumen Ejecución a 15-Nov-2024'!$D33)</f>
        <v>21436667</v>
      </c>
      <c r="K33" s="205">
        <f>+SUMIFS([1]VigenciaSIIF!X$3:X$32,[1]VigenciaSIIF!$C$3:$C$32,'Resumen Ejecución a 15-Nov-2024'!$B33,[1]VigenciaSIIF!$N$3:$N$32,'Resumen Ejecución a 15-Nov-2024'!$D33)</f>
        <v>28212714828.459999</v>
      </c>
      <c r="L33" s="206">
        <f t="shared" si="0"/>
        <v>0.79838235898157794</v>
      </c>
      <c r="M33" s="205">
        <f>+SUMIFS([1]VigenciaSIIF!Y$3:Y$32,[1]VigenciaSIIF!$C$3:$C$32,'Resumen Ejecución a 15-Nov-2024'!$B33,[1]VigenciaSIIF!$N$3:$N$32,'Resumen Ejecución a 15-Nov-2024'!$D33)</f>
        <v>18979336131.32</v>
      </c>
      <c r="N33" s="206">
        <f t="shared" si="4"/>
        <v>0.53709000514696925</v>
      </c>
    </row>
    <row r="34" spans="1:16" ht="22.5" customHeight="1">
      <c r="A34" s="225"/>
      <c r="B34" s="203" t="s">
        <v>292</v>
      </c>
      <c r="C34" s="203" t="s">
        <v>256</v>
      </c>
      <c r="D34" s="203" t="s">
        <v>158</v>
      </c>
      <c r="E34" s="203" t="s">
        <v>37</v>
      </c>
      <c r="F34" s="204" t="s">
        <v>293</v>
      </c>
      <c r="G34" s="205">
        <f>+SUMIFS([1]VigenciaSIIF!T$3:T$32,[1]VigenciaSIIF!$C$3:$C$32,'Resumen Ejecución a 15-Nov-2024'!$B34,[1]VigenciaSIIF!$N$3:$N$32,'Resumen Ejecución a 15-Nov-2024'!$D34)</f>
        <v>171281585082</v>
      </c>
      <c r="H34" s="205">
        <f>+SUMIFS([1]VigenciaSIIF!U$3:U$32,[1]VigenciaSIIF!$C$3:$C$32,'Resumen Ejecución a 15-Nov-2024'!$B34,[1]VigenciaSIIF!$N$3:$N$32,'Resumen Ejecución a 15-Nov-2024'!$D34)</f>
        <v>0</v>
      </c>
      <c r="I34" s="205">
        <f>+SUMIFS([1]VigenciaSIIF!V$3:V$32,[1]VigenciaSIIF!$C$3:$C$32,'Resumen Ejecución a 15-Nov-2024'!$B34,[1]VigenciaSIIF!$N$3:$N$32,'Resumen Ejecución a 15-Nov-2024'!$D34)</f>
        <v>171281585082</v>
      </c>
      <c r="J34" s="205">
        <f>+SUMIFS([1]VigenciaSIIF!W$3:W$32,[1]VigenciaSIIF!$C$3:$C$32,'Resumen Ejecución a 15-Nov-2024'!$B34,[1]VigenciaSIIF!$N$3:$N$32,'Resumen Ejecución a 15-Nov-2024'!$D34)</f>
        <v>0</v>
      </c>
      <c r="K34" s="205">
        <f>+SUMIFS([1]VigenciaSIIF!X$3:X$32,[1]VigenciaSIIF!$C$3:$C$32,'Resumen Ejecución a 15-Nov-2024'!$B34,[1]VigenciaSIIF!$N$3:$N$32,'Resumen Ejecución a 15-Nov-2024'!$D34)</f>
        <v>0</v>
      </c>
      <c r="L34" s="206">
        <f t="shared" si="0"/>
        <v>0</v>
      </c>
      <c r="M34" s="205">
        <f>+SUMIFS([1]VigenciaSIIF!Y$3:Y$32,[1]VigenciaSIIF!$C$3:$C$32,'Resumen Ejecución a 15-Nov-2024'!$B34,[1]VigenciaSIIF!$N$3:$N$32,'Resumen Ejecución a 15-Nov-2024'!$D34)</f>
        <v>0</v>
      </c>
      <c r="N34" s="206">
        <f t="shared" si="4"/>
        <v>0</v>
      </c>
    </row>
    <row r="35" spans="1:16" ht="22.5" customHeight="1">
      <c r="A35" s="225"/>
      <c r="B35" s="203" t="s">
        <v>294</v>
      </c>
      <c r="C35" s="203" t="s">
        <v>256</v>
      </c>
      <c r="D35" s="203" t="s">
        <v>36</v>
      </c>
      <c r="E35" s="203" t="s">
        <v>37</v>
      </c>
      <c r="F35" s="204" t="s">
        <v>295</v>
      </c>
      <c r="G35" s="205">
        <f>+SUMIFS([1]VigenciaSIIF!T$3:T$32,[1]VigenciaSIIF!$C$3:$C$32,'Resumen Ejecución a 15-Nov-2024'!$B35,[1]VigenciaSIIF!$N$3:$N$32,'Resumen Ejecución a 15-Nov-2024'!$D35)</f>
        <v>100000000000</v>
      </c>
      <c r="H35" s="205">
        <f>+SUMIFS([1]VigenciaSIIF!U$3:U$32,[1]VigenciaSIIF!$C$3:$C$32,'Resumen Ejecución a 15-Nov-2024'!$B35,[1]VigenciaSIIF!$N$3:$N$32,'Resumen Ejecución a 15-Nov-2024'!$D35)</f>
        <v>29000000000</v>
      </c>
      <c r="I35" s="205">
        <f>+SUMIFS([1]VigenciaSIIF!V$3:V$32,[1]VigenciaSIIF!$C$3:$C$32,'Resumen Ejecución a 15-Nov-2024'!$B35,[1]VigenciaSIIF!$N$3:$N$32,'Resumen Ejecución a 15-Nov-2024'!$D35)</f>
        <v>71000000000</v>
      </c>
      <c r="J35" s="205">
        <f>+SUMIFS([1]VigenciaSIIF!W$3:W$32,[1]VigenciaSIIF!$C$3:$C$32,'Resumen Ejecución a 15-Nov-2024'!$B35,[1]VigenciaSIIF!$N$3:$N$32,'Resumen Ejecución a 15-Nov-2024'!$D35)</f>
        <v>0</v>
      </c>
      <c r="K35" s="205">
        <f>+SUMIFS([1]VigenciaSIIF!X$3:X$32,[1]VigenciaSIIF!$C$3:$C$32,'Resumen Ejecución a 15-Nov-2024'!$B35,[1]VigenciaSIIF!$N$3:$N$32,'Resumen Ejecución a 15-Nov-2024'!$D35)</f>
        <v>0</v>
      </c>
      <c r="L35" s="206">
        <f>+K35/$G35</f>
        <v>0</v>
      </c>
      <c r="M35" s="205">
        <f>+SUMIFS([1]VigenciaSIIF!Y$3:Y$32,[1]VigenciaSIIF!$C$3:$C$32,'Resumen Ejecución a 15-Nov-2024'!$B35,[1]VigenciaSIIF!$N$3:$N$32,'Resumen Ejecución a 15-Nov-2024'!$D35)</f>
        <v>0</v>
      </c>
      <c r="N35" s="206">
        <f>+M35/$G35</f>
        <v>0</v>
      </c>
    </row>
    <row r="36" spans="1:16" ht="22.5" customHeight="1">
      <c r="A36" s="225"/>
      <c r="B36" s="208" t="s">
        <v>296</v>
      </c>
      <c r="C36" s="231" t="s">
        <v>256</v>
      </c>
      <c r="D36" s="231" t="s">
        <v>158</v>
      </c>
      <c r="E36" s="231" t="s">
        <v>37</v>
      </c>
      <c r="F36" s="232" t="s">
        <v>297</v>
      </c>
      <c r="G36" s="210">
        <f>+SUMIFS([1]VigenciaSIIF!T$3:T$32,[1]VigenciaSIIF!$C$3:$C$32,'Resumen Ejecución a 15-Nov-2024'!$B36,[1]VigenciaSIIF!$N$3:$N$32,'Resumen Ejecución a 15-Nov-2024'!$D36)</f>
        <v>40000000000</v>
      </c>
      <c r="H36" s="210">
        <f>+SUMIFS([1]VigenciaSIIF!U$3:U$32,[1]VigenciaSIIF!$C$3:$C$32,'Resumen Ejecución a 15-Nov-2024'!$B36,[1]VigenciaSIIF!$N$3:$N$32,'Resumen Ejecución a 15-Nov-2024'!$D36)</f>
        <v>40000000000</v>
      </c>
      <c r="I36" s="210">
        <f>+SUMIFS([1]VigenciaSIIF!V$3:V$32,[1]VigenciaSIIF!$C$3:$C$32,'Resumen Ejecución a 15-Nov-2024'!$B36,[1]VigenciaSIIF!$N$3:$N$32,'Resumen Ejecución a 15-Nov-2024'!$D36)</f>
        <v>0</v>
      </c>
      <c r="J36" s="210">
        <f>+SUMIFS([1]VigenciaSIIF!W$3:W$32,[1]VigenciaSIIF!$C$3:$C$32,'Resumen Ejecución a 15-Nov-2024'!$B36,[1]VigenciaSIIF!$N$3:$N$32,'Resumen Ejecución a 15-Nov-2024'!$D36)</f>
        <v>0</v>
      </c>
      <c r="K36" s="210">
        <f>+SUMIFS([1]VigenciaSIIF!X$3:X$32,[1]VigenciaSIIF!$C$3:$C$32,'Resumen Ejecución a 15-Nov-2024'!$B36,[1]VigenciaSIIF!$N$3:$N$32,'Resumen Ejecución a 15-Nov-2024'!$D36)</f>
        <v>0</v>
      </c>
      <c r="L36" s="211">
        <f>+K36/$G36</f>
        <v>0</v>
      </c>
      <c r="M36" s="210">
        <f>+SUMIFS([1]VigenciaSIIF!Y$3:Y$32,[1]VigenciaSIIF!$C$3:$C$32,'Resumen Ejecución a 15-Nov-2024'!$B36,[1]VigenciaSIIF!$N$3:$N$32,'Resumen Ejecución a 15-Nov-2024'!$D36)</f>
        <v>0</v>
      </c>
      <c r="N36" s="211">
        <f>+M36/$G36</f>
        <v>0</v>
      </c>
    </row>
    <row r="37" spans="1:16" s="217" customFormat="1" ht="22.5" customHeight="1">
      <c r="A37" s="212"/>
      <c r="B37" s="218" t="s">
        <v>298</v>
      </c>
      <c r="C37" s="219" t="s">
        <v>237</v>
      </c>
      <c r="D37" s="219"/>
      <c r="E37" s="219"/>
      <c r="F37" s="219"/>
      <c r="G37" s="233"/>
      <c r="H37" s="233"/>
      <c r="I37" s="233"/>
      <c r="J37" s="233"/>
      <c r="K37" s="233"/>
      <c r="L37" s="234"/>
      <c r="M37" s="233"/>
      <c r="N37" s="234"/>
      <c r="P37" s="198"/>
    </row>
    <row r="38" spans="1:16" s="217" customFormat="1" ht="22.5" customHeight="1">
      <c r="A38" s="212"/>
      <c r="B38" s="222" t="s">
        <v>299</v>
      </c>
      <c r="C38" s="259" t="s">
        <v>173</v>
      </c>
      <c r="D38" s="259"/>
      <c r="E38" s="259"/>
      <c r="F38" s="259"/>
      <c r="G38" s="223">
        <f>+G39</f>
        <v>12000000000</v>
      </c>
      <c r="H38" s="223">
        <f t="shared" ref="H38:M38" si="5">+H39</f>
        <v>386805913</v>
      </c>
      <c r="I38" s="223">
        <f t="shared" si="5"/>
        <v>11613194087</v>
      </c>
      <c r="J38" s="223">
        <f t="shared" si="5"/>
        <v>0</v>
      </c>
      <c r="K38" s="223">
        <f t="shared" si="5"/>
        <v>8331536069.6199999</v>
      </c>
      <c r="L38" s="224">
        <f t="shared" ref="L38" si="6">+K38/$G38</f>
        <v>0.69429467246833332</v>
      </c>
      <c r="M38" s="223">
        <f t="shared" si="5"/>
        <v>7289625006.6199999</v>
      </c>
      <c r="N38" s="224">
        <f>+M38/$G38</f>
        <v>0.6074687505516666</v>
      </c>
      <c r="P38" s="198"/>
    </row>
    <row r="39" spans="1:16" ht="22.5" customHeight="1">
      <c r="A39" s="225"/>
      <c r="B39" s="226" t="s">
        <v>300</v>
      </c>
      <c r="C39" s="226" t="s">
        <v>256</v>
      </c>
      <c r="D39" s="226" t="s">
        <v>36</v>
      </c>
      <c r="E39" s="226" t="s">
        <v>37</v>
      </c>
      <c r="F39" s="227" t="s">
        <v>301</v>
      </c>
      <c r="G39" s="228">
        <f>+SUMIFS([1]VigenciaSIIF!T$3:T$32,[1]VigenciaSIIF!$C$3:$C$32,'Resumen Ejecución a 15-Nov-2024'!$B39,[1]VigenciaSIIF!$N$3:$N$32,'Resumen Ejecución a 15-Nov-2024'!$D39)</f>
        <v>12000000000</v>
      </c>
      <c r="H39" s="228">
        <f>+SUMIFS([1]VigenciaSIIF!U$3:U$32,[1]VigenciaSIIF!$C$3:$C$32,'Resumen Ejecución a 15-Nov-2024'!$B39,[1]VigenciaSIIF!$N$3:$N$32,'Resumen Ejecución a 15-Nov-2024'!$D39)</f>
        <v>386805913</v>
      </c>
      <c r="I39" s="228">
        <f>+SUMIFS([1]VigenciaSIIF!V$3:V$32,[1]VigenciaSIIF!$C$3:$C$32,'Resumen Ejecución a 15-Nov-2024'!$B39,[1]VigenciaSIIF!$N$3:$N$32,'Resumen Ejecución a 15-Nov-2024'!$D39)</f>
        <v>11613194087</v>
      </c>
      <c r="J39" s="228">
        <f>+SUMIFS([1]VigenciaSIIF!W$3:W$32,[1]VigenciaSIIF!$C$3:$C$32,'Resumen Ejecución a 15-Nov-2024'!$B39,[1]VigenciaSIIF!$N$3:$N$32,'Resumen Ejecución a 15-Nov-2024'!$D39)</f>
        <v>0</v>
      </c>
      <c r="K39" s="228">
        <f>+SUMIFS([1]VigenciaSIIF!X$3:X$32,[1]VigenciaSIIF!$C$3:$C$32,'Resumen Ejecución a 15-Nov-2024'!$B39,[1]VigenciaSIIF!$N$3:$N$32,'Resumen Ejecución a 15-Nov-2024'!$D39)</f>
        <v>8331536069.6199999</v>
      </c>
      <c r="L39" s="229">
        <f>+K39/$G39</f>
        <v>0.69429467246833332</v>
      </c>
      <c r="M39" s="228">
        <f>+SUMIFS([1]VigenciaSIIF!Y$3:Y$32,[1]VigenciaSIIF!$C$3:$C$32,'Resumen Ejecución a 15-Nov-2024'!$B39,[1]VigenciaSIIF!$N$3:$N$32,'Resumen Ejecución a 15-Nov-2024'!$D39)</f>
        <v>7289625006.6199999</v>
      </c>
      <c r="N39" s="229">
        <f>+M39/$G39</f>
        <v>0.6074687505516666</v>
      </c>
    </row>
    <row r="40" spans="1:16" s="217" customFormat="1" ht="22.5" customHeight="1">
      <c r="A40" s="212"/>
      <c r="B40" s="213" t="s">
        <v>302</v>
      </c>
      <c r="C40" s="214"/>
      <c r="D40" s="214"/>
      <c r="E40" s="214"/>
      <c r="F40" s="214"/>
      <c r="G40" s="215">
        <f>+G18+G38</f>
        <v>10519740829267</v>
      </c>
      <c r="H40" s="215">
        <f t="shared" ref="H40:M40" si="7">+H18+H38</f>
        <v>698411453254.69006</v>
      </c>
      <c r="I40" s="215">
        <f t="shared" si="7"/>
        <v>9820921127180.3105</v>
      </c>
      <c r="J40" s="215">
        <f t="shared" si="7"/>
        <v>408248832</v>
      </c>
      <c r="K40" s="215">
        <f t="shared" si="7"/>
        <v>6021282856983.5996</v>
      </c>
      <c r="L40" s="216">
        <f>+K40/$G40</f>
        <v>0.57237939172719654</v>
      </c>
      <c r="M40" s="215">
        <f t="shared" si="7"/>
        <v>5156080382671.0303</v>
      </c>
      <c r="N40" s="216">
        <f>+M40/$G40</f>
        <v>0.49013378431589161</v>
      </c>
    </row>
    <row r="41" spans="1:16" s="217" customFormat="1" ht="22.5" customHeight="1">
      <c r="A41" s="212"/>
      <c r="B41" s="260" t="s">
        <v>243</v>
      </c>
      <c r="C41" s="261"/>
      <c r="D41" s="261"/>
      <c r="E41" s="261"/>
      <c r="F41" s="262"/>
      <c r="G41" s="235">
        <f>+G16+G40</f>
        <v>10765230649149</v>
      </c>
      <c r="H41" s="235">
        <f>+H16+H40</f>
        <v>698411453254.69006</v>
      </c>
      <c r="I41" s="235">
        <f>+I16+I40</f>
        <v>10030199345473.361</v>
      </c>
      <c r="J41" s="235">
        <f>+J16+J40</f>
        <v>36619850420.949997</v>
      </c>
      <c r="K41" s="235">
        <f>+K16+K40</f>
        <v>6163152372787.4092</v>
      </c>
      <c r="L41" s="236">
        <f>+K41/$G41</f>
        <v>0.57250537156624803</v>
      </c>
      <c r="M41" s="235">
        <f>+M16+M40</f>
        <v>5287643236842.2998</v>
      </c>
      <c r="N41" s="236">
        <f>+M41/$G41</f>
        <v>0.4911778863985875</v>
      </c>
    </row>
    <row r="42" spans="1:16">
      <c r="G42" s="238">
        <f>+[1]VigenciaSIIF!T1-G41</f>
        <v>0</v>
      </c>
      <c r="H42" s="238">
        <f>+[1]VigenciaSIIF!U1-H41</f>
        <v>0</v>
      </c>
      <c r="I42" s="238">
        <f>+[1]VigenciaSIIF!V1-I41</f>
        <v>3.90625E-2</v>
      </c>
      <c r="J42" s="238">
        <f>+[1]VigenciaSIIF!W1-J41</f>
        <v>9.9945068359375E-4</v>
      </c>
      <c r="K42" s="238">
        <f>+[1]VigenciaSIIF!X1-K41</f>
        <v>0</v>
      </c>
    </row>
  </sheetData>
  <mergeCells count="4">
    <mergeCell ref="B6:N6"/>
    <mergeCell ref="C18:F18"/>
    <mergeCell ref="C38:F38"/>
    <mergeCell ref="B41:F41"/>
  </mergeCells>
  <conditionalFormatting sqref="L8">
    <cfRule type="dataBar" priority="15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{C1F77A91-1B5F-42BA-A2ED-341A5510B6EA}</x14:id>
        </ext>
      </extLst>
    </cfRule>
  </conditionalFormatting>
  <conditionalFormatting sqref="L9">
    <cfRule type="dataBar" priority="13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{40701DBB-3DAF-4342-B27E-488B326FCDE1}</x14:id>
        </ext>
      </extLst>
    </cfRule>
  </conditionalFormatting>
  <conditionalFormatting sqref="L10">
    <cfRule type="dataBar" priority="11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{80861481-D3BD-4BB5-85A6-82BA4F2C3A4A}</x14:id>
        </ext>
      </extLst>
    </cfRule>
  </conditionalFormatting>
  <conditionalFormatting sqref="L11">
    <cfRule type="dataBar" priority="9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{9F3D9173-89C4-42F8-8C57-518F86010E20}</x14:id>
        </ext>
      </extLst>
    </cfRule>
  </conditionalFormatting>
  <conditionalFormatting sqref="L12">
    <cfRule type="dataBar" priority="7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{5CBF90F8-2246-41EB-9221-707AF173C960}</x14:id>
        </ext>
      </extLst>
    </cfRule>
  </conditionalFormatting>
  <conditionalFormatting sqref="L13">
    <cfRule type="dataBar" priority="5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{D293E9EA-ABAC-4BA3-A248-5E66CB04241E}</x14:id>
        </ext>
      </extLst>
    </cfRule>
  </conditionalFormatting>
  <conditionalFormatting sqref="L14:L15">
    <cfRule type="dataBar" priority="3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{095E0175-8951-41B7-A992-6445825589B1}</x14:id>
        </ext>
      </extLst>
    </cfRule>
  </conditionalFormatting>
  <conditionalFormatting sqref="L19:L36 L39">
    <cfRule type="dataBar" priority="17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{BBEC9480-B957-44D2-A41A-C22F108809FC}</x14:id>
        </ext>
      </extLst>
    </cfRule>
  </conditionalFormatting>
  <conditionalFormatting sqref="N8">
    <cfRule type="dataBar" priority="14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{BCE53693-C70D-4388-8BE7-D56129D22BEB}</x14:id>
        </ext>
      </extLst>
    </cfRule>
  </conditionalFormatting>
  <conditionalFormatting sqref="N9">
    <cfRule type="dataBar" priority="12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{30A8575C-DA68-4B4A-95EE-EAF6CE1E8FB3}</x14:id>
        </ext>
      </extLst>
    </cfRule>
  </conditionalFormatting>
  <conditionalFormatting sqref="N10">
    <cfRule type="dataBar" priority="10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{08FFEAAB-0AD9-4D72-B747-85E8047173FB}</x14:id>
        </ext>
      </extLst>
    </cfRule>
  </conditionalFormatting>
  <conditionalFormatting sqref="N11">
    <cfRule type="dataBar" priority="8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{BC857201-BE5A-486A-AA75-1F778F7EF443}</x14:id>
        </ext>
      </extLst>
    </cfRule>
  </conditionalFormatting>
  <conditionalFormatting sqref="N12">
    <cfRule type="dataBar" priority="6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{13909C08-F3E8-4123-AE2C-2BBBEA4C1A67}</x14:id>
        </ext>
      </extLst>
    </cfRule>
  </conditionalFormatting>
  <conditionalFormatting sqref="N13">
    <cfRule type="dataBar" priority="4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{83B759BF-4039-4761-9C5C-3DB3C07C02F2}</x14:id>
        </ext>
      </extLst>
    </cfRule>
  </conditionalFormatting>
  <conditionalFormatting sqref="N14">
    <cfRule type="dataBar" priority="2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{B9B167EF-B3AB-4AE7-B80D-3B28754DF9D1}</x14:id>
        </ext>
      </extLst>
    </cfRule>
  </conditionalFormatting>
  <conditionalFormatting sqref="N15">
    <cfRule type="dataBar" priority="1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{27F2CB31-2403-4986-80F4-A7071F02AE53}</x14:id>
        </ext>
      </extLst>
    </cfRule>
  </conditionalFormatting>
  <conditionalFormatting sqref="N19:N36 N39">
    <cfRule type="dataBar" priority="16">
      <dataBar>
        <cfvo type="num" val="0"/>
        <cfvo type="num" val="1"/>
        <color rgb="FFFFC800"/>
      </dataBar>
      <extLst>
        <ext xmlns:x14="http://schemas.microsoft.com/office/spreadsheetml/2009/9/main" uri="{B025F937-C7B1-47D3-B67F-A62EFF666E3E}">
          <x14:id>{A2CE476C-33A5-4149-975E-AA59E868B3E8}</x14:id>
        </ext>
      </extLst>
    </cfRule>
  </conditionalFormatting>
  <printOptions horizontalCentered="1" verticalCentered="1"/>
  <pageMargins left="0.78740157480314965" right="0.78740157480314965" top="0.78740157480314965" bottom="0.78740157480314965" header="0.78740157480314965" footer="0.78740157480314965"/>
  <pageSetup scale="51" orientation="landscape" horizontalDpi="300" verticalDpi="300" r:id="rId1"/>
  <headerFooter alignWithMargins="0"/>
  <rowBreaks count="1" manualBreakCount="1">
    <brk id="43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1F77A91-1B5F-42BA-A2ED-341A5510B6E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L8</xm:sqref>
        </x14:conditionalFormatting>
        <x14:conditionalFormatting xmlns:xm="http://schemas.microsoft.com/office/excel/2006/main">
          <x14:cfRule type="dataBar" id="{40701DBB-3DAF-4342-B27E-488B326FCDE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L9</xm:sqref>
        </x14:conditionalFormatting>
        <x14:conditionalFormatting xmlns:xm="http://schemas.microsoft.com/office/excel/2006/main">
          <x14:cfRule type="dataBar" id="{80861481-D3BD-4BB5-85A6-82BA4F2C3A4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L10</xm:sqref>
        </x14:conditionalFormatting>
        <x14:conditionalFormatting xmlns:xm="http://schemas.microsoft.com/office/excel/2006/main">
          <x14:cfRule type="dataBar" id="{9F3D9173-89C4-42F8-8C57-518F86010E2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L11</xm:sqref>
        </x14:conditionalFormatting>
        <x14:conditionalFormatting xmlns:xm="http://schemas.microsoft.com/office/excel/2006/main">
          <x14:cfRule type="dataBar" id="{5CBF90F8-2246-41EB-9221-707AF173C96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L12</xm:sqref>
        </x14:conditionalFormatting>
        <x14:conditionalFormatting xmlns:xm="http://schemas.microsoft.com/office/excel/2006/main">
          <x14:cfRule type="dataBar" id="{D293E9EA-ABAC-4BA3-A248-5E66CB04241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L13</xm:sqref>
        </x14:conditionalFormatting>
        <x14:conditionalFormatting xmlns:xm="http://schemas.microsoft.com/office/excel/2006/main">
          <x14:cfRule type="dataBar" id="{095E0175-8951-41B7-A992-6445825589B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L14:L15</xm:sqref>
        </x14:conditionalFormatting>
        <x14:conditionalFormatting xmlns:xm="http://schemas.microsoft.com/office/excel/2006/main">
          <x14:cfRule type="dataBar" id="{BBEC9480-B957-44D2-A41A-C22F108809FC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L19:L36 L39</xm:sqref>
        </x14:conditionalFormatting>
        <x14:conditionalFormatting xmlns:xm="http://schemas.microsoft.com/office/excel/2006/main">
          <x14:cfRule type="dataBar" id="{BCE53693-C70D-4388-8BE7-D56129D22BE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N8</xm:sqref>
        </x14:conditionalFormatting>
        <x14:conditionalFormatting xmlns:xm="http://schemas.microsoft.com/office/excel/2006/main">
          <x14:cfRule type="dataBar" id="{30A8575C-DA68-4B4A-95EE-EAF6CE1E8FB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N9</xm:sqref>
        </x14:conditionalFormatting>
        <x14:conditionalFormatting xmlns:xm="http://schemas.microsoft.com/office/excel/2006/main">
          <x14:cfRule type="dataBar" id="{08FFEAAB-0AD9-4D72-B747-85E8047173F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N10</xm:sqref>
        </x14:conditionalFormatting>
        <x14:conditionalFormatting xmlns:xm="http://schemas.microsoft.com/office/excel/2006/main">
          <x14:cfRule type="dataBar" id="{BC857201-BE5A-486A-AA75-1F778F7EF44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N11</xm:sqref>
        </x14:conditionalFormatting>
        <x14:conditionalFormatting xmlns:xm="http://schemas.microsoft.com/office/excel/2006/main">
          <x14:cfRule type="dataBar" id="{13909C08-F3E8-4123-AE2C-2BBBEA4C1A6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N12</xm:sqref>
        </x14:conditionalFormatting>
        <x14:conditionalFormatting xmlns:xm="http://schemas.microsoft.com/office/excel/2006/main">
          <x14:cfRule type="dataBar" id="{83B759BF-4039-4761-9C5C-3DB3C07C02F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N13</xm:sqref>
        </x14:conditionalFormatting>
        <x14:conditionalFormatting xmlns:xm="http://schemas.microsoft.com/office/excel/2006/main">
          <x14:cfRule type="dataBar" id="{B9B167EF-B3AB-4AE7-B80D-3B28754DF9D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N14</xm:sqref>
        </x14:conditionalFormatting>
        <x14:conditionalFormatting xmlns:xm="http://schemas.microsoft.com/office/excel/2006/main">
          <x14:cfRule type="dataBar" id="{27F2CB31-2403-4986-80F4-A7071F02AE5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N15</xm:sqref>
        </x14:conditionalFormatting>
        <x14:conditionalFormatting xmlns:xm="http://schemas.microsoft.com/office/excel/2006/main">
          <x14:cfRule type="dataBar" id="{A2CE476C-33A5-4149-975E-AA59E868B3E8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N19:N36 N39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0396A675635B4FB23392F298A88D65" ma:contentTypeVersion="4" ma:contentTypeDescription="Crear nuevo documento." ma:contentTypeScope="" ma:versionID="f13861487de69649ece5c91fb24e53b2">
  <xsd:schema xmlns:xsd="http://www.w3.org/2001/XMLSchema" xmlns:xs="http://www.w3.org/2001/XMLSchema" xmlns:p="http://schemas.microsoft.com/office/2006/metadata/properties" xmlns:ns2="ec369812-8713-4221-b50c-f8f0346c3688" targetNamespace="http://schemas.microsoft.com/office/2006/metadata/properties" ma:root="true" ma:fieldsID="3eb9d5bd4b4c84fd79e9ad7fa9e463da" ns2:_="">
    <xsd:import namespace="ec369812-8713-4221-b50c-f8f0346c36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369812-8713-4221-b50c-f8f0346c36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2ECC89-F5CB-43D1-922E-DD39A95ABB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48EAF8-C701-4032-A24C-5C2E64C4988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9A4C27B-4B39-49D9-A685-2171780D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369812-8713-4221-b50c-f8f0346c36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VIG_23</vt:lpstr>
      <vt:lpstr>Resumen Ejecución a 15-Nov-2024</vt:lpstr>
      <vt:lpstr>'Resumen Ejecución a 15-Nov-2024'!Área_de_impresión</vt:lpstr>
      <vt:lpstr>VIG_23!Área_de_impresión</vt:lpstr>
      <vt:lpstr>VIG_23!Títulos_a_imprimir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Emilio Imedio Villalobos</dc:creator>
  <cp:keywords/>
  <dc:description/>
  <cp:lastModifiedBy>Sandra Reyes</cp:lastModifiedBy>
  <cp:revision/>
  <dcterms:created xsi:type="dcterms:W3CDTF">2024-11-21T18:53:24Z</dcterms:created>
  <dcterms:modified xsi:type="dcterms:W3CDTF">2024-11-27T22:26:42Z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0x010100390396A675635B4FB23392F298A88D65</vt:lpwstr>
  </property>
</Properties>
</file>